
<file path=[Content_Types].xml><?xml version="1.0" encoding="utf-8"?>
<Types xmlns="http://schemas.openxmlformats.org/package/2006/content-types">
  <Default Extension="bin" ContentType="application/vnd.openxmlformats-officedocument.spreadsheetml.printerSettings"/>
  <Override PartName="/xl/diagrams/layout1.xml" ContentType="application/vnd.openxmlformats-officedocument.drawingml.diagramLayout+xml"/>
  <Override PartName="/xl/diagrams/quickStyle1.xml" ContentType="application/vnd.openxmlformats-officedocument.drawingml.diagramStyle+xml"/>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iagrams/data1.xml" ContentType="application/vnd.openxmlformats-officedocument.drawingml.diagramData+xml"/>
  <Override PartName="/xl/diagrams/colors1.xml" ContentType="application/vnd.openxmlformats-officedocument.drawingml.diagramColors+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showInkAnnotation="0" codeName="ThisWorkbook" autoCompressPictures="0" defaultThemeVersion="124226"/>
  <bookViews>
    <workbookView xWindow="0" yWindow="0" windowWidth="20490" windowHeight="9045" tabRatio="688" firstSheet="1" activeTab="2"/>
  </bookViews>
  <sheets>
    <sheet name="Démarche à suivre" sheetId="12" r:id="rId1"/>
    <sheet name="Etat des lieux" sheetId="7" r:id="rId2"/>
    <sheet name="VEV asynchrone" sheetId="1" r:id="rId3"/>
    <sheet name="Compresseur basse pression" sheetId="25" r:id="rId4"/>
    <sheet name="Récupérateur" sheetId="3" r:id="rId5"/>
    <sheet name="Sécheur d'air" sheetId="22" r:id="rId6"/>
    <sheet name="Moteur IE4" sheetId="26" r:id="rId7"/>
    <sheet name="Séquenceur" sheetId="15" r:id="rId8"/>
    <sheet name="VEV synchrone" sheetId="19" r:id="rId9"/>
    <sheet name="Fiche de synthèse" sheetId="11" r:id="rId10"/>
    <sheet name="Offre" sheetId="18" state="hidden" r:id="rId11"/>
  </sheets>
  <definedNames>
    <definedName name="Texte3" localSheetId="10">Offre!#REF!</definedName>
    <definedName name="_xlnm.Print_Area" localSheetId="9">'Fiche de synthèse'!$A$1:$G$54</definedName>
    <definedName name="_xlnm.Print_Area" localSheetId="10">Offre!$A$1:$K$422</definedName>
  </definedNames>
  <calcPr calcId="125725"/>
  <webPublishing codePage="1252"/>
  <fileRecoveryPr autoRecover="0"/>
</workbook>
</file>

<file path=xl/calcChain.xml><?xml version="1.0" encoding="utf-8"?>
<calcChain xmlns="http://schemas.openxmlformats.org/spreadsheetml/2006/main">
  <c r="N38" i="11"/>
  <c r="D30" l="1"/>
  <c r="C30"/>
  <c r="D29"/>
  <c r="C29"/>
  <c r="D28"/>
  <c r="C28"/>
  <c r="L36" i="26" l="1"/>
  <c r="L39" s="1"/>
  <c r="M36"/>
  <c r="M40" s="1"/>
  <c r="K36"/>
  <c r="K38" s="1"/>
  <c r="E10" l="1"/>
  <c r="M38"/>
  <c r="M39"/>
  <c r="L37"/>
  <c r="L38"/>
  <c r="D10"/>
  <c r="K37"/>
  <c r="C10"/>
  <c r="F28" i="11" s="1"/>
  <c r="K40" i="26"/>
  <c r="M37"/>
  <c r="K39"/>
  <c r="L40"/>
  <c r="E11" l="1"/>
  <c r="G30" i="11" s="1"/>
  <c r="F30"/>
  <c r="D11" i="26"/>
  <c r="F29" i="11"/>
  <c r="C11" i="26"/>
  <c r="F10"/>
  <c r="F4" i="7"/>
  <c r="G28" i="11" l="1"/>
  <c r="H158" i="18"/>
  <c r="G29" i="11"/>
  <c r="H159" i="18"/>
  <c r="H160"/>
  <c r="F11" i="26"/>
  <c r="I38" i="1"/>
  <c r="J38"/>
  <c r="H38"/>
  <c r="Q57" i="18" l="1"/>
  <c r="I39" i="1"/>
  <c r="J39"/>
  <c r="H40"/>
  <c r="I35" i="25"/>
  <c r="I36" s="1"/>
  <c r="J35"/>
  <c r="J37" s="1"/>
  <c r="E10" s="1"/>
  <c r="E11" s="1"/>
  <c r="H35"/>
  <c r="H38" s="1"/>
  <c r="J52" i="22"/>
  <c r="K52"/>
  <c r="I52"/>
  <c r="K37" i="19"/>
  <c r="K38" s="1"/>
  <c r="L37"/>
  <c r="L38" s="1"/>
  <c r="J37"/>
  <c r="J39" s="1"/>
  <c r="J49" i="15"/>
  <c r="J50" s="1"/>
  <c r="K49"/>
  <c r="K50" s="1"/>
  <c r="I49"/>
  <c r="I51" s="1"/>
  <c r="G18" i="11" l="1"/>
  <c r="H148" i="18"/>
  <c r="J36" i="25"/>
  <c r="J38"/>
  <c r="J39"/>
  <c r="I39"/>
  <c r="D10"/>
  <c r="D11" s="1"/>
  <c r="I38"/>
  <c r="I37"/>
  <c r="H37"/>
  <c r="H39"/>
  <c r="H36"/>
  <c r="I42" i="1"/>
  <c r="I40"/>
  <c r="D11"/>
  <c r="D12" s="1"/>
  <c r="I41"/>
  <c r="H39"/>
  <c r="H41"/>
  <c r="J42"/>
  <c r="J41"/>
  <c r="J40"/>
  <c r="E11" s="1"/>
  <c r="E12" s="1"/>
  <c r="H42"/>
  <c r="C11" i="19"/>
  <c r="C12" s="1"/>
  <c r="E11"/>
  <c r="E12" s="1"/>
  <c r="D11"/>
  <c r="D12" s="1"/>
  <c r="K41"/>
  <c r="K39"/>
  <c r="K40"/>
  <c r="L41"/>
  <c r="L40"/>
  <c r="L39"/>
  <c r="J38"/>
  <c r="J40"/>
  <c r="J41"/>
  <c r="C11" i="15"/>
  <c r="C12" s="1"/>
  <c r="K53"/>
  <c r="K51"/>
  <c r="E11" s="1"/>
  <c r="E12" s="1"/>
  <c r="G34" i="11" s="1"/>
  <c r="K52" i="15"/>
  <c r="J53"/>
  <c r="J52"/>
  <c r="J51"/>
  <c r="D11" s="1"/>
  <c r="D12" s="1"/>
  <c r="G33" i="11" s="1"/>
  <c r="I52" i="15"/>
  <c r="I50"/>
  <c r="I53"/>
  <c r="J53" i="22"/>
  <c r="K53"/>
  <c r="I54"/>
  <c r="I36" i="3"/>
  <c r="K49" s="1"/>
  <c r="G36" i="11" l="1"/>
  <c r="H166" i="18"/>
  <c r="G38" i="11"/>
  <c r="H168" i="18"/>
  <c r="G37" i="11"/>
  <c r="H167" i="18"/>
  <c r="G32" i="11"/>
  <c r="H162" i="18"/>
  <c r="G17" i="11"/>
  <c r="H147" i="18"/>
  <c r="G14" i="11"/>
  <c r="H144" i="18"/>
  <c r="G13" i="11"/>
  <c r="H143" i="18"/>
  <c r="H163"/>
  <c r="H164"/>
  <c r="C10" i="22"/>
  <c r="I53"/>
  <c r="I55"/>
  <c r="K56"/>
  <c r="K55"/>
  <c r="K54"/>
  <c r="E10" s="1"/>
  <c r="E11" s="1"/>
  <c r="G26" i="11" s="1"/>
  <c r="I56" i="22"/>
  <c r="J56"/>
  <c r="J55"/>
  <c r="J54"/>
  <c r="D10" s="1"/>
  <c r="D11" s="1"/>
  <c r="G25" i="11" s="1"/>
  <c r="F10" i="3"/>
  <c r="F11" s="1"/>
  <c r="G22" i="11" s="1"/>
  <c r="C10" i="25"/>
  <c r="C11" s="1"/>
  <c r="G16" i="11" s="1"/>
  <c r="J23" i="1"/>
  <c r="H155" i="18" l="1"/>
  <c r="H156"/>
  <c r="H152"/>
  <c r="H146"/>
  <c r="K50" i="3"/>
  <c r="K52"/>
  <c r="K53"/>
  <c r="K51"/>
  <c r="C11" i="1"/>
  <c r="C12" s="1"/>
  <c r="G12" i="11" s="1"/>
  <c r="D17"/>
  <c r="E147" i="18" s="1"/>
  <c r="D18" i="11"/>
  <c r="E148" i="18" s="1"/>
  <c r="D16" i="11"/>
  <c r="E146" i="18" s="1"/>
  <c r="C18" i="11"/>
  <c r="D148" i="18" s="1"/>
  <c r="C17" i="11"/>
  <c r="D147" i="18" s="1"/>
  <c r="C16" i="11"/>
  <c r="D146" i="18" s="1"/>
  <c r="H25" i="25"/>
  <c r="J25" s="1"/>
  <c r="H24"/>
  <c r="J24" s="1"/>
  <c r="H23"/>
  <c r="J23" s="1"/>
  <c r="H142" i="18" l="1"/>
  <c r="H40" i="11"/>
  <c r="I40" s="1"/>
  <c r="H41" l="1"/>
  <c r="F16"/>
  <c r="G146" i="18" s="1"/>
  <c r="F17" i="11"/>
  <c r="G147" i="18" s="1"/>
  <c r="F18" i="11"/>
  <c r="G148" i="18" s="1"/>
  <c r="F10" i="25"/>
  <c r="F40" i="11"/>
  <c r="F41"/>
  <c r="B118" i="18" l="1"/>
  <c r="B114" l="1"/>
  <c r="AI14" i="11" l="1"/>
  <c r="B176" i="18"/>
  <c r="B12"/>
  <c r="B14"/>
  <c r="B13"/>
  <c r="B11"/>
  <c r="C11" i="22"/>
  <c r="AI25" i="11"/>
  <c r="AI21"/>
  <c r="E160" i="18"/>
  <c r="E159"/>
  <c r="E158"/>
  <c r="D160"/>
  <c r="D159"/>
  <c r="D158"/>
  <c r="E26" i="11"/>
  <c r="F156" i="18" s="1"/>
  <c r="E25" i="11"/>
  <c r="F155" i="18" s="1"/>
  <c r="E24" i="11"/>
  <c r="F154" i="18" s="1"/>
  <c r="C26" i="11"/>
  <c r="D156" i="18" s="1"/>
  <c r="C25" i="11"/>
  <c r="D155" i="18" s="1"/>
  <c r="C24" i="11"/>
  <c r="G160" i="18"/>
  <c r="F25" i="11"/>
  <c r="G155" i="18" s="1"/>
  <c r="H34" i="22"/>
  <c r="I34" s="1"/>
  <c r="H35"/>
  <c r="I35" s="1"/>
  <c r="H36"/>
  <c r="I36" s="1"/>
  <c r="AI16" i="11"/>
  <c r="AI12"/>
  <c r="AI18"/>
  <c r="AI17"/>
  <c r="F36"/>
  <c r="G166" i="18" s="1"/>
  <c r="J36" i="3"/>
  <c r="K36" s="1"/>
  <c r="B13" i="11"/>
  <c r="C143" i="18" s="1"/>
  <c r="B14" i="11"/>
  <c r="C144" i="18" s="1"/>
  <c r="B12" i="11"/>
  <c r="C142" i="18" s="1"/>
  <c r="L9" i="3"/>
  <c r="G316" i="18"/>
  <c r="AI13" i="11"/>
  <c r="AI35"/>
  <c r="AI34"/>
  <c r="AI33"/>
  <c r="AI31"/>
  <c r="AI30"/>
  <c r="AI29"/>
  <c r="A36"/>
  <c r="D38"/>
  <c r="E168" i="18" s="1"/>
  <c r="D37" i="11"/>
  <c r="E167" i="18" s="1"/>
  <c r="D36" i="11"/>
  <c r="E166" i="18" s="1"/>
  <c r="C38" i="11"/>
  <c r="D168" i="18" s="1"/>
  <c r="C37" i="11"/>
  <c r="D167" i="18" s="1"/>
  <c r="C36" i="11"/>
  <c r="D166" i="18" s="1"/>
  <c r="B38" i="11"/>
  <c r="C168" i="18" s="1"/>
  <c r="B37" i="11"/>
  <c r="C167" i="18" s="1"/>
  <c r="B36" i="11"/>
  <c r="C166" i="18" s="1"/>
  <c r="F38" i="11"/>
  <c r="G168" i="18" s="1"/>
  <c r="F37" i="11"/>
  <c r="G167" i="18" s="1"/>
  <c r="D34" i="11"/>
  <c r="E164" i="18" s="1"/>
  <c r="D33" i="11"/>
  <c r="E163" i="18" s="1"/>
  <c r="D32" i="11"/>
  <c r="E162" i="18" s="1"/>
  <c r="C34" i="11"/>
  <c r="D164" i="18" s="1"/>
  <c r="C33" i="11"/>
  <c r="D163" i="18" s="1"/>
  <c r="C32" i="11"/>
  <c r="D162" i="18" s="1"/>
  <c r="B34" i="11"/>
  <c r="C164" i="18" s="1"/>
  <c r="B33" i="11"/>
  <c r="C163" i="18" s="1"/>
  <c r="B32" i="11"/>
  <c r="C162" i="18" s="1"/>
  <c r="K9" i="15"/>
  <c r="J27"/>
  <c r="C6" i="11"/>
  <c r="C5"/>
  <c r="E22"/>
  <c r="F152" i="18" s="1"/>
  <c r="E21" i="11"/>
  <c r="F151" i="18" s="1"/>
  <c r="E20" i="11"/>
  <c r="F150" i="18" s="1"/>
  <c r="D22" i="11"/>
  <c r="E152" i="18" s="1"/>
  <c r="D21" i="11"/>
  <c r="E151" i="18" s="1"/>
  <c r="D20" i="11"/>
  <c r="C22"/>
  <c r="D152" i="18" s="1"/>
  <c r="C21" i="11"/>
  <c r="D151" i="18" s="1"/>
  <c r="C20" i="11"/>
  <c r="D150" i="18" s="1"/>
  <c r="B22" i="11"/>
  <c r="C152" i="18" s="1"/>
  <c r="B21" i="11"/>
  <c r="C151" i="18" s="1"/>
  <c r="B20" i="11"/>
  <c r="C150" i="18" s="1"/>
  <c r="D14" i="11"/>
  <c r="E144" i="18" s="1"/>
  <c r="D13" i="11"/>
  <c r="E143" i="18" s="1"/>
  <c r="D12" i="11"/>
  <c r="C14"/>
  <c r="D144" i="18" s="1"/>
  <c r="C13" i="11"/>
  <c r="D143" i="18" s="1"/>
  <c r="C12" i="11"/>
  <c r="D142" i="18" s="1"/>
  <c r="C8" i="11"/>
  <c r="C7"/>
  <c r="F13"/>
  <c r="G143" i="18" s="1"/>
  <c r="J25" i="1"/>
  <c r="F33" i="11"/>
  <c r="G163" i="18" s="1"/>
  <c r="F14" i="11"/>
  <c r="G144" i="18" s="1"/>
  <c r="F10" i="22"/>
  <c r="F26" i="11"/>
  <c r="G156" i="18" s="1"/>
  <c r="F22" i="11"/>
  <c r="G152" i="18" s="1"/>
  <c r="F24" i="11"/>
  <c r="G154" i="18" s="1"/>
  <c r="G24" i="11" l="1"/>
  <c r="H154" i="18"/>
  <c r="AG9" i="11"/>
  <c r="B123" i="18" s="1"/>
  <c r="AQ13" i="11"/>
  <c r="B65" i="18" s="1"/>
  <c r="S13" s="1"/>
  <c r="I34" i="3"/>
  <c r="I49" s="1"/>
  <c r="I35"/>
  <c r="J49" s="1"/>
  <c r="E10" s="1"/>
  <c r="E11" s="1"/>
  <c r="F34" i="11"/>
  <c r="G164" i="18" s="1"/>
  <c r="J24" i="1"/>
  <c r="D154" i="18"/>
  <c r="F32" i="11"/>
  <c r="G162" i="18" s="1"/>
  <c r="F11" i="15"/>
  <c r="F12" s="1"/>
  <c r="E142" i="18"/>
  <c r="E150"/>
  <c r="G159"/>
  <c r="G158"/>
  <c r="F11" i="22"/>
  <c r="F11" i="19"/>
  <c r="F12" s="1"/>
  <c r="G21" i="11" l="1"/>
  <c r="H151" i="18"/>
  <c r="J35" i="3"/>
  <c r="K35" s="1"/>
  <c r="J34"/>
  <c r="K34" s="1"/>
  <c r="I51"/>
  <c r="D10" s="1"/>
  <c r="D11" s="1"/>
  <c r="I52"/>
  <c r="I53"/>
  <c r="I50"/>
  <c r="J52"/>
  <c r="J51"/>
  <c r="J53"/>
  <c r="J50"/>
  <c r="F11" i="1"/>
  <c r="F12" i="11"/>
  <c r="G142" i="18" s="1"/>
  <c r="G20" i="11" l="1"/>
  <c r="H150" i="18"/>
  <c r="F20" i="11"/>
  <c r="G150" i="18" s="1"/>
  <c r="F21" i="11"/>
  <c r="G151" i="18" s="1"/>
  <c r="G10" i="3"/>
  <c r="F12" i="1"/>
  <c r="F39" i="11" l="1"/>
  <c r="G169" i="18" s="1"/>
  <c r="G11" i="3"/>
  <c r="AG38" i="11" l="1"/>
  <c r="F11" i="25"/>
  <c r="G39" i="11"/>
  <c r="AI36" l="1"/>
  <c r="G40"/>
  <c r="H169" i="18" s="1"/>
  <c r="B174" s="1"/>
  <c r="AG37" i="11"/>
  <c r="G41" l="1"/>
</calcChain>
</file>

<file path=xl/sharedStrings.xml><?xml version="1.0" encoding="utf-8"?>
<sst xmlns="http://schemas.openxmlformats.org/spreadsheetml/2006/main" count="868" uniqueCount="368">
  <si>
    <t>IND-UT-02</t>
  </si>
  <si>
    <t>IND-UT-09</t>
  </si>
  <si>
    <t>Utilité du moteur</t>
  </si>
  <si>
    <t>Pompage</t>
  </si>
  <si>
    <t>Ventilation</t>
  </si>
  <si>
    <t>Compresseur froid</t>
  </si>
  <si>
    <t>Puissance du moteur (kW)</t>
  </si>
  <si>
    <t>Volume de CEE (kWh cumac)</t>
  </si>
  <si>
    <t>1x8</t>
  </si>
  <si>
    <t>2x8</t>
  </si>
  <si>
    <t>3x8 arrêt le week-end</t>
  </si>
  <si>
    <t>3x8 sans arrêt le week-end</t>
  </si>
  <si>
    <t>H1</t>
  </si>
  <si>
    <t>H2</t>
  </si>
  <si>
    <t>H3</t>
  </si>
  <si>
    <t>Société</t>
  </si>
  <si>
    <t>Département</t>
  </si>
  <si>
    <t>Nombre de moteurs</t>
  </si>
  <si>
    <t>TOTAL</t>
  </si>
  <si>
    <t>OPERATION 1</t>
  </si>
  <si>
    <t>OPERATION 2</t>
  </si>
  <si>
    <t>OPERATION 3</t>
  </si>
  <si>
    <t>Indiquez…</t>
  </si>
  <si>
    <t>Synthèse des estimations</t>
  </si>
  <si>
    <t>N° de dossier</t>
  </si>
  <si>
    <t>Opérations par lot</t>
  </si>
  <si>
    <t xml:space="preserve">Prix de rachat </t>
  </si>
  <si>
    <t>Contact:</t>
  </si>
  <si>
    <t>Les volumes de Certificats d'Economies d'Energie générés par les travaux saisis précédemment</t>
  </si>
  <si>
    <t>sont détaillés dans le tableau suivant :</t>
  </si>
  <si>
    <t xml:space="preserve">www.capitalenergy.fr </t>
  </si>
  <si>
    <t>site web</t>
  </si>
  <si>
    <t>Volume de CEE estimé</t>
  </si>
  <si>
    <t>Utilité</t>
  </si>
  <si>
    <t>Puissance</t>
  </si>
  <si>
    <t>Nombre</t>
  </si>
  <si>
    <t>Mode horaire</t>
  </si>
  <si>
    <t>Système de VEV sur un moteur asynchrone</t>
  </si>
  <si>
    <t>Nombre de compresseurs équipés</t>
  </si>
  <si>
    <t>SYSTÈME DE VARIATION ELECTRONIQUE DE VITESSE (VEV) SUR UN MOTEUR ASYNCHRONE</t>
  </si>
  <si>
    <t>RECUPERATEUR DE CHALEUR SUR UN COMPRESSEUR D'AIR</t>
  </si>
  <si>
    <t>CLIENT</t>
  </si>
  <si>
    <t>Département (en chiffres)</t>
  </si>
  <si>
    <t>FICHES D'OPERATIONS STANDARDISEES</t>
  </si>
  <si>
    <t>Valorisation</t>
  </si>
  <si>
    <t xml:space="preserve">Récupérateur de chaleur sur un compresseur d'air </t>
  </si>
  <si>
    <t>DEMARCHE A SUIVRE</t>
  </si>
  <si>
    <t>Chaque document est d'une importance capitale :</t>
  </si>
  <si>
    <t xml:space="preserve">Veillez à bien prendre connaissance des informations contenues dans l'onglet "Démarche à suivre" avant de commencer. </t>
  </si>
  <si>
    <t>Achat de compresseur(s) VSD neuf</t>
  </si>
  <si>
    <t>Changement de variateur</t>
  </si>
  <si>
    <t>ER interne</t>
  </si>
  <si>
    <t>ER-S (externe)</t>
  </si>
  <si>
    <t>RECUPERATEUR DE CHALEUR SUR UN COMPRESSEUR D'AIR COMPRIME
POUR VALORISATION EN CHAUFFAGE DES LOCAUX OU PRODUCTION D'EAU CHAUDE SANITAIRE</t>
  </si>
  <si>
    <t>Gainage</t>
  </si>
  <si>
    <t>IND-UT-24</t>
  </si>
  <si>
    <t>SEQUENCEUR ELECTRONIQUE POUR LE PILOTAGE D'UNE CENTRALE DE PRODUCTION D'AIR COMPRIME</t>
  </si>
  <si>
    <t>Mode de fonctionnement horaire du site</t>
  </si>
  <si>
    <t>Nombre de compresseurs pilotés</t>
  </si>
  <si>
    <t>Option</t>
  </si>
  <si>
    <t>SANS "optimisation d'énergie"</t>
  </si>
  <si>
    <t>Option "optimisation d'énergie"</t>
  </si>
  <si>
    <t>SANS optimisation</t>
  </si>
  <si>
    <t>AVEC optimisation</t>
  </si>
  <si>
    <t>AVEC "optimisation d'énergie"</t>
  </si>
  <si>
    <t>Puissance totale des compresseurs pilotés (kWél)</t>
  </si>
  <si>
    <t>Standard:</t>
  </si>
  <si>
    <t>Adresse mail</t>
  </si>
  <si>
    <t>L’instruction du dossier de demande sera possible dès lors que les documents suivants seront réunis :</t>
  </si>
  <si>
    <t>- Devis, bon de commande et facture d’installation des équipements,</t>
  </si>
  <si>
    <t>- Fiche technique de l’équipement installé,</t>
  </si>
  <si>
    <t>Capital Energy procèdera au règlement de la somme liée à la valorisation des Certificats d’Economies d’Energie</t>
  </si>
  <si>
    <t>immédiatement après la réception d’une facture mentionnant la vente des Certificats d’Economies d’Energie.</t>
  </si>
  <si>
    <t>Séquenceur à haute efficacité énergétique</t>
  </si>
  <si>
    <t>Option optimisation</t>
  </si>
  <si>
    <t>Moto-variateur synchrone à aimants permanents</t>
  </si>
  <si>
    <t>Application</t>
  </si>
  <si>
    <t>Compresseur d'air</t>
  </si>
  <si>
    <t>Convoyeur, broyeur, agitateur</t>
  </si>
  <si>
    <t>Puissance nominale du moteur (KW)</t>
  </si>
  <si>
    <t>IND-UT-14</t>
  </si>
  <si>
    <t>Indiquez …</t>
  </si>
  <si>
    <t xml:space="preserve">Pompage </t>
  </si>
  <si>
    <t xml:space="preserve">Ventilation </t>
  </si>
  <si>
    <t xml:space="preserve">Air comprimé </t>
  </si>
  <si>
    <t xml:space="preserve">Compresseur froid </t>
  </si>
  <si>
    <t xml:space="preserve">Broyeurs, convoyeurs, agitateurs </t>
  </si>
  <si>
    <t>Date :</t>
  </si>
  <si>
    <t xml:space="preserve"> </t>
  </si>
  <si>
    <t>SIREN</t>
  </si>
  <si>
    <t>Contact pour paiement de la prime</t>
  </si>
  <si>
    <t>Téléphone/adresse mail du contact</t>
  </si>
  <si>
    <t xml:space="preserve">Jean-Hubert Farman </t>
  </si>
  <si>
    <t>Capital Energy</t>
  </si>
  <si>
    <t>Société :</t>
  </si>
  <si>
    <t>Nom :</t>
  </si>
  <si>
    <t>Technico-commercial associé</t>
  </si>
  <si>
    <t>SYSTÈME DE VARIATION ELECTRONIQUE DE VITESSE SUR MOTEUR ASYNCHRONE</t>
  </si>
  <si>
    <t>Le Bénéficiaire</t>
  </si>
  <si>
    <t>Signature du Bénéficiaire précédée de la mention</t>
  </si>
  <si>
    <t>"lu et approuvé", et cachet si entreprise</t>
  </si>
  <si>
    <t>IND-UT-124</t>
  </si>
  <si>
    <t>IND-UT-114</t>
  </si>
  <si>
    <t>IND-UT-103</t>
  </si>
  <si>
    <t>IND-UT-102</t>
  </si>
  <si>
    <t>Chauffage de locaux</t>
  </si>
  <si>
    <t>Process</t>
  </si>
  <si>
    <t>Usage de la chaleur</t>
  </si>
  <si>
    <t>coeff</t>
  </si>
  <si>
    <t>volume</t>
  </si>
  <si>
    <t>prime</t>
  </si>
  <si>
    <t>Récupérateur de chaleur sur un compresseur d'air   (IND-UT-103)</t>
  </si>
  <si>
    <t>Système de VEV sur un moteur asynchrone
 (IND-UT-102)</t>
  </si>
  <si>
    <t>Séquenceur à haute efficacité énergétique
(IND-UT-124)</t>
  </si>
  <si>
    <t>Moto-variateur synchrone à aimants permanents 
(IND-UT-114)</t>
  </si>
  <si>
    <t>OPERATIONS :</t>
  </si>
  <si>
    <t xml:space="preserve">
Récupérateur de chaleur sur un compresseur d'air</t>
  </si>
  <si>
    <t xml:space="preserve">
Séquenceur à haute efficacité énergétique</t>
  </si>
  <si>
    <t xml:space="preserve">
Système de VEV sur moteur synchrone à aimants permanents</t>
  </si>
  <si>
    <t xml:space="preserve">
</t>
  </si>
  <si>
    <t>Système de variation électronique de vitesse sur un moteur synchrone à aimants permanents</t>
  </si>
  <si>
    <t>SECHEUR D'AIR COMPRIME A HAUTE EFFCACITE ENERGETIQUE</t>
  </si>
  <si>
    <t>Puissance nominale du moteur (kW)</t>
  </si>
  <si>
    <t>Nombre de moteur(s)</t>
  </si>
  <si>
    <r>
      <t>Achat de compresseur neuf</t>
    </r>
    <r>
      <rPr>
        <sz val="10"/>
        <color indexed="63"/>
        <rFont val="Arial"/>
        <family val="2"/>
      </rPr>
      <t> </t>
    </r>
  </si>
  <si>
    <r>
      <t>Changement de moteur sur compresseur existant</t>
    </r>
    <r>
      <rPr>
        <sz val="10"/>
        <color indexed="63"/>
        <rFont val="Arial"/>
        <family val="2"/>
      </rPr>
      <t> </t>
    </r>
  </si>
  <si>
    <t>IND-UT-122</t>
  </si>
  <si>
    <t>SECHEUR D'AIR COMPRIME A ABSORPTION UTILISANT UN APPORT CALORIFIQUE POUR SA REGENERATION</t>
  </si>
  <si>
    <t>Sécheur d'air à absorption</t>
  </si>
  <si>
    <t>cellules I9 et S13 :sécheur et ie3 codés en dernier</t>
  </si>
  <si>
    <t/>
  </si>
  <si>
    <t>Remarque :</t>
  </si>
  <si>
    <t>Puissance thermique ou électrique (kW)</t>
  </si>
  <si>
    <t>En cas de présence d'un échangeur, renseigner la puissance thermique de l'échangeur si elle est inférieure à la puissance électrique du compresseur
En cas d'absence d'échangeur, renseigner la puissance électrique nominale du compresseur</t>
  </si>
  <si>
    <t>- à partir du 1er janvier 2017 si sa puissance nominale est comprise entre 0,75 kW inclus et 375 kW inclus.</t>
  </si>
  <si>
    <t>o.abdelmalki@capitalenergy.fr</t>
  </si>
  <si>
    <t>Référence de l'offre :</t>
  </si>
  <si>
    <t xml:space="preserve">
Sécheur d'air à adsorption</t>
  </si>
  <si>
    <t>Sécheur d'air à adsorption
(IND-UT-122)</t>
  </si>
  <si>
    <t>Sécheur d'air à adsorption</t>
  </si>
  <si>
    <t>Annexe 1 : Liste de toutes les opérations pouvant être couvertes par le rôle moteur de Capital Energy</t>
  </si>
  <si>
    <t>Isolation de combles ou de toitures</t>
  </si>
  <si>
    <t>Isolation des murs</t>
  </si>
  <si>
    <t>Chaudière collective haute performance énergétique</t>
  </si>
  <si>
    <t>Robinet thermostatique</t>
  </si>
  <si>
    <t>Récupérateur de chaleur à condensation</t>
  </si>
  <si>
    <t>INDUSTRIE</t>
  </si>
  <si>
    <t>Bâtiment</t>
  </si>
  <si>
    <t> IND-BA-110</t>
  </si>
  <si>
    <t>Destratificateur ou brasseur d'air</t>
  </si>
  <si>
    <t> IND-BA-112</t>
  </si>
  <si>
    <t>Système de récupération de chaleur sur une tour aéroréfrigérante</t>
  </si>
  <si>
    <t> IND-BA-114</t>
  </si>
  <si>
    <t>Conduits de lumière naturelle</t>
  </si>
  <si>
    <t>Utilités</t>
  </si>
  <si>
    <t> IND-UT-102</t>
  </si>
  <si>
    <t>Système de variation électronique de vitesse sur un moteur asynchrone</t>
  </si>
  <si>
    <t> IND-UT-103</t>
  </si>
  <si>
    <t>Système de récupération de chaleur sur un compresseur d'air</t>
  </si>
  <si>
    <t> IND-UT-104</t>
  </si>
  <si>
    <t> IND-UT-105</t>
  </si>
  <si>
    <t>Brûleur micro-modulant sur chaudière industrielle</t>
  </si>
  <si>
    <t> IND-UT-112</t>
  </si>
  <si>
    <t>Moteur haut rendement de classe IE2</t>
  </si>
  <si>
    <t> IND-UT-113</t>
  </si>
  <si>
    <t>Système de condensation frigorifique à haute efficacité</t>
  </si>
  <si>
    <t> IND-UT-114</t>
  </si>
  <si>
    <t>Moto-variation synchrone à aimants permanents</t>
  </si>
  <si>
    <t> IND-UT-115</t>
  </si>
  <si>
    <t> IND-UT-116</t>
  </si>
  <si>
    <t> IND-UT-117</t>
  </si>
  <si>
    <t>Système de récupération de chaleur sur un groupe de production de froid</t>
  </si>
  <si>
    <t> IND-UT-118</t>
  </si>
  <si>
    <t>Brûleur avec dispositif de récupération de chaleur sur four industriel</t>
  </si>
  <si>
    <t> IND-UT-120</t>
  </si>
  <si>
    <t>Compresseur d'air basse pression à vis ou centrifuge</t>
  </si>
  <si>
    <t> IND-UT-121</t>
  </si>
  <si>
    <t>Matelas pour l'isolation de points singuliers</t>
  </si>
  <si>
    <t> IND-UT-122</t>
  </si>
  <si>
    <t>Sécheur d'air comprimé à adsorption utilisant un apport calorifique pour sa régénération</t>
  </si>
  <si>
    <t> IND-UT-123</t>
  </si>
  <si>
    <t>Moteur premimum de classe IE3</t>
  </si>
  <si>
    <t> IND-UT-124</t>
  </si>
  <si>
    <t>Séquenceur électronique pour le pilotage d'une centrale de production d'air comprimé</t>
  </si>
  <si>
    <t> IND-UT-125</t>
  </si>
  <si>
    <t>Traitement d'eau performant sur chaudière de production de vapeur</t>
  </si>
  <si>
    <t> IND-UT-127</t>
  </si>
  <si>
    <t>Système de transmission performant</t>
  </si>
  <si>
    <t> IND-UT-129</t>
  </si>
  <si>
    <t>Presse à injecter toute électrique ou hybride</t>
  </si>
  <si>
    <t>TERTIAIRE</t>
  </si>
  <si>
    <t>Equipement</t>
  </si>
  <si>
    <t>Lampe à LED de classe A (France Outre-mer)</t>
  </si>
  <si>
    <t>Luminaire d'éclairage général à modules LED</t>
  </si>
  <si>
    <t>Fermeture des meubles frigorifiques de vente à température positive</t>
  </si>
  <si>
    <t>Enveloppe</t>
  </si>
  <si>
    <t>Isolation d'un plancher</t>
  </si>
  <si>
    <t>Fenêtre ou porte fenêtre complète avec vitrage isolant</t>
  </si>
  <si>
    <t>Thermique</t>
  </si>
  <si>
    <t>Pompe à chaleur de type air/eau ou eau/air</t>
  </si>
  <si>
    <t>Climatiseur performant (France Outre-mer)</t>
  </si>
  <si>
    <t>Système de gestion technique du bâtiment pour le chauffage et l'eau chaude sanitaire</t>
  </si>
  <si>
    <t>Chauffe-eau solaire (France Outre-mer)</t>
  </si>
  <si>
    <t>Pompe à chaleur à absorption de type air/eau ou eau/eau</t>
  </si>
  <si>
    <t xml:space="preserve">Pompe à chaleur à moteur gaz de type air/eau </t>
  </si>
  <si>
    <t>Economiseur sur effluents gazeux d'une chaudière de production de vapeur</t>
  </si>
  <si>
    <t>Prime estimée</t>
  </si>
  <si>
    <t>PRIME TOTALE ESTIMÉE</t>
  </si>
  <si>
    <t> IND-BA-115</t>
  </si>
  <si>
    <t>Tubes à LED à éclairage hémisphérique</t>
  </si>
  <si>
    <t>Système de régulation sur groupe de production de froid permettant d'avoir une basse pression flottante</t>
  </si>
  <si>
    <t>Système de régulation sur groupe de production de froid permettant d'avoir une haute pression flottante</t>
  </si>
  <si>
    <t>Luminaires à modules LED pour surfaces commerciales</t>
  </si>
  <si>
    <t>Lampe ou luminaire à modules LED pour l'éclairage d'accentuation</t>
  </si>
  <si>
    <t>Systèmes hydro économes (France métropolitaine)</t>
  </si>
  <si>
    <t>Plancher chauffant hydraulique à basse température</t>
  </si>
  <si>
    <t>Radiateur basse température pour un chauffage central</t>
  </si>
  <si>
    <t>Isolation d’un réseau hydraulique de chauffage</t>
  </si>
  <si>
    <t>Chauffe-eau solaire collectif (France métropolitaine)</t>
  </si>
  <si>
    <t>Isolation d’un réseau hydraulique d’eau chaude sanitaire</t>
  </si>
  <si>
    <t>Ventilation mécanique simple flux à débit d’air constant ou modulé</t>
  </si>
  <si>
    <t>Ventilation mécanique double flux avec échangeur à débit d’air constant ou modulé</t>
  </si>
  <si>
    <t>Raccordement d’un bâtiment tertiaire à un réseau de chaleur</t>
  </si>
  <si>
    <t>Récupération de chaleur sur groupe de production de froid</t>
  </si>
  <si>
    <t>Ventilo-convecteurs haute performance</t>
  </si>
  <si>
    <t>Projet suivi par : Omar ABDELMALKI - 01 77 35 81 06 - o.abdelmalki@capitalenergy.fr</t>
  </si>
  <si>
    <t xml:space="preserve">Par ailleurs, l’ensemble des opérations standardisées citées dans l’Annexe 1 pourront être valorisées par Capital Energy si elles sont réalisées dans le cadre de ce contrat. 
- Tous les équipements/matériaux doivent être neufs, vendus et posés par un professionnel. 
- Les travaux devront être conformes aux spécifications techniques précisées dans les fiches d’opérations standardisées correspondantes.
- Les travaux réalisés dans une installation visée par le Plan National d’Allocation des Quotas (PNAQ), qui ont pour effet de réduire la consommation d'énergie ET les émissions de gaz à effet de serre de l'installation, ne peuvent pas donner lieu à la délivrance de certificats d'économies d'énergie (CEE). 
- Les travaux réalisés ne doivent pas avoir fait l’objet de subventions versées par l’Agence de l’Environnement et de la Maîtrise de l’Energie (ADEME) ou toute aide impliquant une demande de CEE par un tiers.
</t>
  </si>
  <si>
    <t>Les calculs sont réalisés sur la base des formules fournies par la Direction Générale de l’Energie et du Climat (DGEC), en considérant que les opérations respectent les critères d’éligibilité.</t>
  </si>
  <si>
    <t>Dans le cas où des travaux supplémentaires sont effectués sur le bâtiment et que des opérations sont éligibles au dispositif des CEE, cette offre fera l’objet d’un avenant afin d’inclure ces opérations additionnelles.</t>
  </si>
  <si>
    <t>Le Bénéficiaire s’engage à accorder irrévocablement et sans réserve à Capital Energy une exclusivité concernant la valorisation des CEE en rapport avec les travaux définis dans la présente offre de valorisation. Cette exclusivité est souscrite sur le territoire national pour toute la durée de l’exécution des présentes.</t>
  </si>
  <si>
    <t xml:space="preserve">Une fois le dossier de demande de CEE validé par le PNCEE et les Certificats enregistrés, Capital Energy enverra un appel au maitre d’ouvrage à hauteur du montant validé par les services instructeurs.
Capital Energy procèdera au règlement de la somme liée à la valorisation des CEE sous 30 jours fin de mois après la réception du document précédemment cité. La rémunération de Capital Energy est exclusivement financée par les Certificats d’Economies d’ Energie.
</t>
  </si>
  <si>
    <t xml:space="preserve">Conformément à la réglementation encadrant le dispositif des Certificats d’Economies d’Energie, Capital Energy justifiera son rôle incitatif dans la réalisation des travaux générant des économies d’énergie en finançant une partie de ces travaux. 
Cette offre de financement devra être obligatoirement signée avant le déclenchement de l’opération, matérialisé par la signature du devis, pour justifier et rendre valable l’antériorité du rôle actif et incitatif de Capital Energy. 
L’instruction du dossier de demande sera possible dès lors que les documents suivants seront réunis : 
  - La présente offre de financement,
  - Devis daté et signé,
  - Facture d’installation des équipements,
  - Fiche(s) technique(s)du matériel installé,
  - Attestation(s) sur l’honneur fournie(s) par Capital Energy
  - Tout autre document nécessaire à l’instruction
Capital Energy a l’obligation d’archiver l’ensemble de ces documents justificatifs en version originale afin de pouvoir les présenter dans le cas d’un contrôle.
</t>
  </si>
  <si>
    <t xml:space="preserve">Les Parties seront responsables de leurs actions au titre ou en raison de l’exécution des présentes, conformément aux dispositions énoncées dans le Code Civil en matière de responsabilité civile délictuelle et ou contractuelle. 
Les Parties s’engagent à faire leurs meilleurs efforts et à mettre l’ensemble des moyens et outils dont elles disposent dans le cadre de l’exécution des présentes. Capital Energy ne sera tenu qu’à une obligation de moyens, et ne pourra pas voir sa responsabilité engagée dans le cas où les CEE ne seraient pas obtenus,  l’attribution des CEE relevant uniquement de l’appréciation souveraine du PNCEE (ou toute autre Autorité Administrative compétente).
Par ailleurs, la responsabilité de Capital Energy ne pourra en aucun cas être recherchée et/ou engagée du fait qu'une ou plusieurs informations qui auraient été communiquées par le Bénéficiaire à Capital Energy se révéleraient ou seraient jugées par le PNCEE (ou toute autre Autorité Administrative compétente), insuffisantes, incomplètes, constitutives de « doublon » ou inexactes. Dans ce cas, Capital Energy se réservera le droit de réclamer au Bénéficiaire la totalité des pénalités financières qui lui seraient infligées par l’Autorité Administrative au titre des manquements qui auraient été constatés et pour lesquels Capital Energy ne serait aucunement responsable. Capital Energy pourra procéder à des contrôles téléphoniques aléatoires ou effectuer des visites sur site sur les opérations reçues. Les Bénéficiaires seront tenus de prendre les dispositions nécessaires dans le cadre de ces contrôles, sous peine de voir leurs dossiers refusés.
Capital Energy ne pourra en aucune manière être tenue responsable des dommages matériels, immatériels, pertes financières, pénalités, amendes ou toutes autres conséquences dommageables résultant d’un manquement du Bénéficiaire ou du Professionnel dans l’exécution de ses obligations vis-à-vis de ses clients ou résultant du non-respect de la règlementation fiscale et administrative
Capital Energy a souscrit un contrat d’assurance civile et professionnelle auprès d’une compagnie notoire et solvable, couvrant sa responsabilité contractuelle dans le cadre de l’exécution de la présente.
</t>
  </si>
  <si>
    <r>
      <rPr>
        <b/>
        <sz val="11"/>
        <color rgb="FF3E4140"/>
        <rFont val="Calibri"/>
        <family val="2"/>
      </rPr>
      <t>1)</t>
    </r>
    <r>
      <rPr>
        <sz val="11"/>
        <color rgb="FF3E4140"/>
        <rFont val="Calibri"/>
        <family val="2"/>
        <scheme val="minor"/>
      </rPr>
      <t xml:space="preserve"> Afin de justifier le rôle incitatif de Capital Energy, l'offre de financement doit impérativement être </t>
    </r>
    <r>
      <rPr>
        <b/>
        <u/>
        <sz val="11"/>
        <color rgb="FF3E4140"/>
        <rFont val="Calibri"/>
        <family val="2"/>
      </rPr>
      <t>signée par le bénéficiaire</t>
    </r>
    <r>
      <rPr>
        <sz val="11"/>
        <color rgb="FF3E4140"/>
        <rFont val="Calibri"/>
        <family val="2"/>
        <scheme val="minor"/>
      </rPr>
      <t xml:space="preserve"> et </t>
    </r>
    <r>
      <rPr>
        <b/>
        <u/>
        <sz val="11"/>
        <color rgb="FF3E4140"/>
        <rFont val="Calibri"/>
        <family val="2"/>
      </rPr>
      <t>datée d'avant le passage de la commande.</t>
    </r>
  </si>
  <si>
    <r>
      <rPr>
        <b/>
        <sz val="12"/>
        <color rgb="FF3E4140"/>
        <rFont val="Calibri"/>
        <family val="2"/>
      </rPr>
      <t>Remarque :</t>
    </r>
    <r>
      <rPr>
        <b/>
        <sz val="12"/>
        <color indexed="10"/>
        <rFont val="Calibri"/>
        <family val="2"/>
      </rPr>
      <t xml:space="preserve">
Est exclu de l'opération standardisée tout moteur IE2</t>
    </r>
    <r>
      <rPr>
        <sz val="12"/>
        <color indexed="10"/>
        <rFont val="Calibri"/>
        <family val="2"/>
      </rPr>
      <t xml:space="preserve"> acheté :</t>
    </r>
  </si>
  <si>
    <r>
      <rPr>
        <b/>
        <sz val="11"/>
        <color rgb="FF3E4140"/>
        <rFont val="Calibri"/>
        <family val="2"/>
      </rPr>
      <t>Remarque :</t>
    </r>
    <r>
      <rPr>
        <sz val="11"/>
        <color rgb="FF3E4140"/>
        <rFont val="Calibri"/>
        <family val="2"/>
      </rPr>
      <t xml:space="preserve">
La chaleur nécessaire à la régénération du sécheur doit être issue de résistances électriques ou bien être récupérée sur un compresseur d'air ou un procédé industriel.</t>
    </r>
  </si>
  <si>
    <t>01 77 35 81 06</t>
  </si>
  <si>
    <r>
      <t xml:space="preserve">Afin que le dossier de demande soit conforme à la réglementation en vigueur, merci de bien vouloir ajouter la mention suivante à la facture : </t>
    </r>
    <r>
      <rPr>
        <b/>
        <sz val="14"/>
        <color rgb="FF4BB708"/>
        <rFont val="Calibri"/>
        <family val="2"/>
        <scheme val="minor"/>
      </rPr>
      <t>"Système de récupération de chaleur sur compresseur d'air de … kW"</t>
    </r>
  </si>
  <si>
    <t>Puissance nominale du(es) compresseur(s)</t>
  </si>
  <si>
    <r>
      <rPr>
        <b/>
        <sz val="11"/>
        <color rgb="FF3E4140"/>
        <rFont val="Calibri"/>
        <family val="2"/>
      </rPr>
      <t>2)</t>
    </r>
    <r>
      <rPr>
        <sz val="11"/>
        <color rgb="FF3E4140"/>
        <rFont val="Calibri"/>
        <family val="2"/>
        <scheme val="minor"/>
      </rPr>
      <t xml:space="preserve"> Les devis doivent être signés par le client final (bénéficiaire), si aucun devis signé ne peut être fourni, joindre le bon de commande, les AH quant à elles, doivent être </t>
    </r>
    <r>
      <rPr>
        <b/>
        <u/>
        <sz val="11"/>
        <color rgb="FF3E4140"/>
        <rFont val="Calibri"/>
        <family val="2"/>
      </rPr>
      <t>co-signés par vous et le bénéficiaire.</t>
    </r>
  </si>
  <si>
    <t>Part du client (%)</t>
  </si>
  <si>
    <t>COMPRESSEUR D'AIR BASSE PRESSION A VIS OU CENTRIFUGE</t>
  </si>
  <si>
    <r>
      <t xml:space="preserve">Les compresseurs d'air de type lobes (ou roots) et ceux utilisant plusieurs étages de compression en série (de type soufflantes) </t>
    </r>
    <r>
      <rPr>
        <b/>
        <sz val="11"/>
        <color rgb="FFFF0000"/>
        <rFont val="Calibri"/>
        <family val="2"/>
        <scheme val="minor"/>
      </rPr>
      <t>ne sont pas éligibles</t>
    </r>
  </si>
  <si>
    <t>IND-UT-120</t>
  </si>
  <si>
    <t>Compresseur basse pression à vis ou centrifuge</t>
  </si>
  <si>
    <t>Compresseur d'air basse pression à vis ou centrifuge
(IND-UT-120)</t>
  </si>
  <si>
    <t>xxx-2017</t>
  </si>
  <si>
    <t>Fait en deux exemplaires originaux,</t>
  </si>
  <si>
    <t>BAT-EN-108</t>
  </si>
  <si>
    <t>Isolation des murs (France d’outre-mer)</t>
  </si>
  <si>
    <t>BAT-EN-109</t>
  </si>
  <si>
    <t>Réduction des apports solaires par la toiture (France d’outre-mer)</t>
  </si>
  <si>
    <t>BAT-EQ-114</t>
  </si>
  <si>
    <t>Eclairage LED pour meubles frigorifiques verticaux</t>
  </si>
  <si>
    <t>BAT-EQ-117</t>
  </si>
  <si>
    <t xml:space="preserve">Installation frigorifique utilisant du CO2 subcritique ou transcritique </t>
  </si>
  <si>
    <t>BAT-EQ-123</t>
  </si>
  <si>
    <t>BAT-EQ-125</t>
  </si>
  <si>
    <t>Fermeture des meubles frigorifiques de vente à température négative</t>
  </si>
  <si>
    <t>BAT-EQ-130</t>
  </si>
  <si>
    <t>BAT-EQ-116</t>
  </si>
  <si>
    <t>BAT-EN-101</t>
  </si>
  <si>
    <t>BAT-EQ-111</t>
  </si>
  <si>
    <t>BAT-EQ-124</t>
  </si>
  <si>
    <t>BAT-EQ-126</t>
  </si>
  <si>
    <t>BAT-EQ-127</t>
  </si>
  <si>
    <t>BAT-EQ-131</t>
  </si>
  <si>
    <t>BAT-EQ-132</t>
  </si>
  <si>
    <t>BAT-EQ-133</t>
  </si>
  <si>
    <t>BAT-EN-102</t>
  </si>
  <si>
    <t>BAT-EN-103</t>
  </si>
  <si>
    <t>BAT-EN-104</t>
  </si>
  <si>
    <t>BAT-EN-106</t>
  </si>
  <si>
    <t>Isolation de combles ou de toitures (France d’outre-mer)</t>
  </si>
  <si>
    <t>BAT-EN-107</t>
  </si>
  <si>
    <t>Isolation des toitures-terrasses</t>
  </si>
  <si>
    <t>BAT-TH-102</t>
  </si>
  <si>
    <t>BAT-TH-103</t>
  </si>
  <si>
    <t>BAT-TH-104</t>
  </si>
  <si>
    <t>BAT-TH-105</t>
  </si>
  <si>
    <t>BAT-TH-106</t>
  </si>
  <si>
    <t>BAT-TH-108</t>
  </si>
  <si>
    <t>Système de régulation par programmation d’intermittence</t>
  </si>
  <si>
    <t>BAT-TH-109</t>
  </si>
  <si>
    <t>Optimiseur de relance en chauffage collectif</t>
  </si>
  <si>
    <t>BAT-TH-110</t>
  </si>
  <si>
    <t>BAT-TH-111</t>
  </si>
  <si>
    <t>BAT-TH-112</t>
  </si>
  <si>
    <t>BAT-TH-113</t>
  </si>
  <si>
    <t>BAT-TH-115</t>
  </si>
  <si>
    <t>BAT-TH-116</t>
  </si>
  <si>
    <t>BAT-TH-119</t>
  </si>
  <si>
    <t>BAT-TH-121</t>
  </si>
  <si>
    <t>BAT-TH-122</t>
  </si>
  <si>
    <t>Programmateur d’intermittence pour la climatisation (France d’outre-mer)</t>
  </si>
  <si>
    <t>BAT-TH-125</t>
  </si>
  <si>
    <t>BAT-TH-126</t>
  </si>
  <si>
    <t>BAT-TH-127</t>
  </si>
  <si>
    <t>BAT-TH-134</t>
  </si>
  <si>
    <t>Système de régulation sur un groupe de production de froid permettant d’avoir une haute pression flottante (France métropolitaine)</t>
  </si>
  <si>
    <t>BAT-TH-139</t>
  </si>
  <si>
    <t>BAT-TH-140</t>
  </si>
  <si>
    <t>BAT-TH-141</t>
  </si>
  <si>
    <t>BAT-TH-142</t>
  </si>
  <si>
    <t>Déstratificateur ou brasseur d’air</t>
  </si>
  <si>
    <t>BAT-TH-143</t>
  </si>
  <si>
    <t>BAT-TH-145</t>
  </si>
  <si>
    <t>Système de régulation sur un groupe de production de froid permettant d’avoir une basse pression flottante</t>
  </si>
  <si>
    <t>IND-UT-130</t>
  </si>
  <si>
    <t>Condenseur sur les effluents gazeux d’une chaudière de production de vapeur</t>
  </si>
  <si>
    <t>IND-UT-131</t>
  </si>
  <si>
    <t>Isolation thermique des parois planes ou cylindriques sur des installations industrielles</t>
  </si>
  <si>
    <t xml:space="preserve">La puissance électrique nominale du compresseur doit être inférieure à 400 kW, et pour des applications nécessitant de l'air à basse pression (&lt;1,5 bar relatif). </t>
  </si>
  <si>
    <t xml:space="preserve">L'installation d'un séquenceur électronique avec ou sans option d'optimisation d'énergie doit permettre le pilotage d'une centrale de production d'air comprimé. </t>
  </si>
  <si>
    <t xml:space="preserve">La chaleur nécessaire à la régénération du sécheur doit être issue de résistances électriques ou bien d'un compresseur d'air ou d'un procédé industriel. </t>
  </si>
  <si>
    <t>achat/location</t>
  </si>
  <si>
    <t>Achat</t>
  </si>
  <si>
    <t>Location 3 ans</t>
  </si>
  <si>
    <t>Location 5 ans</t>
  </si>
  <si>
    <t>Location 7 ans</t>
  </si>
  <si>
    <t>Location 10 ans</t>
  </si>
  <si>
    <t>Achat / Location</t>
  </si>
  <si>
    <t>durée de vie</t>
  </si>
  <si>
    <t>durée de vie actualisée</t>
  </si>
  <si>
    <t>&lt;=15kW</t>
  </si>
  <si>
    <t>&gt;15kW</t>
  </si>
  <si>
    <t>Op1</t>
  </si>
  <si>
    <t>Op2</t>
  </si>
  <si>
    <t>Op3</t>
  </si>
  <si>
    <t>3 ans</t>
  </si>
  <si>
    <t>5 ans</t>
  </si>
  <si>
    <t>7 ans</t>
  </si>
  <si>
    <t>10 ans</t>
  </si>
  <si>
    <t>Capital Energy, Intégrateur de services en efficacité énergétique</t>
  </si>
  <si>
    <t>Est exclu de l'opération standardisée tout moteur IE2 acheté :</t>
  </si>
  <si>
    <t>MOTO-VARIATEUR SYNCHRONE A AIMANTS PERMANENTS</t>
  </si>
  <si>
    <t>- Attestation sur l'Honneur relative à l’opération mentionnée ci-dessus et fournie par Capital Energy.</t>
  </si>
  <si>
    <t xml:space="preserve">Dans le cas où les conditions, termes et coûts contenus dans cette proposition rencontreraient votre approbation, veuillez indiquer votre accord en signant ci-dessous, dans la zone prévue à cet effet et nous retourner un exemplaire original paraphé, signé et cacheté par une personne dûment habilitée.
Cette offre devra être acceptée dans un délai d’un mois à compter de sa date d’édition. Dans le cas contraire, nous ne  pourrons garantir les montants indiqués dans les articles 3 et 4.
Cette offre est valable pour une durée de deux ans si le bénéficiaire est une personne physique et de quatre ans si le bénéficiaire est un personne morale.
Nous restons à votre entière disposition pour toutes questions ou informations supplémentaires. N'hésitez pas à nous contacter par téléphone au 01 77 35 81 06. 
</t>
  </si>
  <si>
    <r>
      <rPr>
        <sz val="12"/>
        <color indexed="10"/>
        <rFont val="Calibri"/>
        <family val="2"/>
      </rPr>
      <t>La puissance utile du moteur doit être comprise entre</t>
    </r>
    <r>
      <rPr>
        <b/>
        <sz val="12"/>
        <color indexed="10"/>
        <rFont val="Calibri"/>
        <family val="2"/>
      </rPr>
      <t xml:space="preserve"> 0,12 kW et 1 000 kW</t>
    </r>
  </si>
  <si>
    <t>x</t>
  </si>
  <si>
    <t>Prix de rachat HT client (€)</t>
  </si>
  <si>
    <t>Prix de rachat HT client (€ HT)</t>
  </si>
  <si>
    <t>Le sécheur doit utiliser un apport calorifique pour sa régénération.</t>
  </si>
  <si>
    <t>Un sécheur utilisant uniquement un balayage d'air sec pour sa régénération n'est pas éligible.</t>
  </si>
  <si>
    <t>Moteur IE4</t>
  </si>
  <si>
    <t>Moteur IE4
(IND-UT-123)</t>
  </si>
  <si>
    <t>IND-UT-132</t>
  </si>
  <si>
    <t>MOTEUR PREMIUM DE CLASSE IE4</t>
  </si>
  <si>
    <r>
      <t xml:space="preserve">La puissance du système de VEV installé doit être </t>
    </r>
    <r>
      <rPr>
        <b/>
        <u/>
        <sz val="11"/>
        <color theme="1"/>
        <rFont val="Calibri"/>
        <family val="2"/>
      </rPr>
      <t xml:space="preserve">inférieure ou égale à 3 MW. </t>
    </r>
  </si>
  <si>
    <r>
      <t xml:space="preserve">La chaleur récupérée doit être valorisée en </t>
    </r>
    <r>
      <rPr>
        <b/>
        <sz val="11"/>
        <color theme="1"/>
        <rFont val="Calibri"/>
        <family val="2"/>
      </rPr>
      <t>procédé industriel</t>
    </r>
    <r>
      <rPr>
        <sz val="11"/>
        <color theme="1"/>
        <rFont val="Calibri"/>
        <family val="2"/>
        <scheme val="minor"/>
      </rPr>
      <t xml:space="preserve"> ou en </t>
    </r>
    <r>
      <rPr>
        <b/>
        <sz val="11"/>
        <color theme="1"/>
        <rFont val="Calibri"/>
        <family val="2"/>
      </rPr>
      <t>chauffage de locaux ou production d'ECS</t>
    </r>
    <r>
      <rPr>
        <sz val="11"/>
        <color theme="1"/>
        <rFont val="Calibri"/>
        <family val="2"/>
        <scheme val="minor"/>
      </rPr>
      <t xml:space="preserve">. </t>
    </r>
  </si>
  <si>
    <r>
      <t xml:space="preserve">La puissance nominale du moteur IE4 doit être </t>
    </r>
    <r>
      <rPr>
        <b/>
        <sz val="11"/>
        <color theme="1"/>
        <rFont val="Calibri"/>
        <family val="2"/>
      </rPr>
      <t>supérieure ou égale à 0,12 kW</t>
    </r>
    <r>
      <rPr>
        <sz val="11"/>
        <color theme="1"/>
        <rFont val="Calibri"/>
        <family val="2"/>
        <scheme val="minor"/>
      </rPr>
      <t xml:space="preserve"> et </t>
    </r>
    <r>
      <rPr>
        <b/>
        <sz val="11"/>
        <color theme="1"/>
        <rFont val="Calibri"/>
        <family val="2"/>
      </rPr>
      <t>inférieure ou égale à 1 000 kW</t>
    </r>
    <r>
      <rPr>
        <sz val="11"/>
        <color theme="1"/>
        <rFont val="Calibri"/>
        <family val="2"/>
        <scheme val="minor"/>
      </rPr>
      <t xml:space="preserve">. </t>
    </r>
  </si>
  <si>
    <r>
      <t xml:space="preserve">La puissance d'un moto-variateur synchrone à aimants permanents doit être </t>
    </r>
    <r>
      <rPr>
        <b/>
        <u/>
        <sz val="11"/>
        <color theme="1"/>
        <rFont val="Calibri"/>
        <family val="2"/>
      </rPr>
      <t>inférieure ou égale à 1 MW</t>
    </r>
    <r>
      <rPr>
        <sz val="11"/>
        <color theme="1"/>
        <rFont val="Calibri"/>
        <family val="2"/>
        <scheme val="minor"/>
      </rPr>
      <t xml:space="preserve">. </t>
    </r>
  </si>
  <si>
    <t>INSTALLATION D'UN MOTEUR PREMIUM IE4</t>
  </si>
  <si>
    <t xml:space="preserve">
Moteur premium IE4</t>
  </si>
  <si>
    <t>RAPPEL</t>
  </si>
  <si>
    <t>Cette synthèse est à but strictement informatif, et n'est pas destinée au client.</t>
  </si>
  <si>
    <t>Le seul document émis par Capital Energy à l'attention du client est l'Offre de financement des CEE.</t>
  </si>
  <si>
    <t>Technico-commercial</t>
  </si>
  <si>
    <t>Professionnel</t>
  </si>
  <si>
    <t>PROFESSIONNEL</t>
  </si>
  <si>
    <t>Raison sociale</t>
  </si>
  <si>
    <t>Nom de l’entreprise cliente</t>
  </si>
  <si>
    <t>REY FRERES</t>
  </si>
  <si>
    <t>653 680 744</t>
  </si>
  <si>
    <t>Christian rey</t>
  </si>
  <si>
    <t>sarl.reyfreres@wanadoo.fr</t>
  </si>
  <si>
    <t>alain balazard</t>
  </si>
  <si>
    <t>SFACS INDUSTRIE</t>
  </si>
</sst>
</file>

<file path=xl/styles.xml><?xml version="1.0" encoding="utf-8"?>
<styleSheet xmlns="http://schemas.openxmlformats.org/spreadsheetml/2006/main">
  <numFmts count="8">
    <numFmt numFmtId="7" formatCode="#,##0.00\ &quot;€&quot;;\-#,##0.00\ &quot;€&quot;"/>
    <numFmt numFmtId="44" formatCode="_-* #,##0.00\ &quot;€&quot;_-;\-* #,##0.00\ &quot;€&quot;_-;_-* &quot;-&quot;??\ &quot;€&quot;_-;_-@_-"/>
    <numFmt numFmtId="43" formatCode="_-* #,##0.00\ _€_-;\-* #,##0.00\ _€_-;_-* &quot;-&quot;??\ _€_-;_-@_-"/>
    <numFmt numFmtId="164" formatCode="#,##0.00\ &quot;€&quot;"/>
    <numFmt numFmtId="165" formatCode="#,##0&quot; kWh&quot;"/>
    <numFmt numFmtId="166" formatCode="0.0&quot; kW&quot;"/>
    <numFmt numFmtId="167" formatCode="#,##0.00\ &quot;€&quot;&quot; HT&quot;"/>
    <numFmt numFmtId="168" formatCode="_-* #,##0\ _€_-;\-* #,##0\ _€_-;_-* &quot;-&quot;??\ _€_-;_-@_-"/>
  </numFmts>
  <fonts count="85">
    <font>
      <sz val="11"/>
      <color theme="1"/>
      <name val="Calibri"/>
      <family val="2"/>
      <scheme val="minor"/>
    </font>
    <font>
      <sz val="11"/>
      <color indexed="10"/>
      <name val="Calibri"/>
      <family val="2"/>
    </font>
    <font>
      <b/>
      <sz val="11"/>
      <color indexed="8"/>
      <name val="Calibri"/>
      <family val="2"/>
    </font>
    <font>
      <b/>
      <sz val="12"/>
      <color indexed="8"/>
      <name val="Calibri"/>
      <family val="2"/>
    </font>
    <font>
      <sz val="11"/>
      <name val="Calibri"/>
      <family val="2"/>
    </font>
    <font>
      <sz val="8"/>
      <name val="Calibri"/>
      <family val="2"/>
    </font>
    <font>
      <sz val="10"/>
      <color indexed="8"/>
      <name val="Calibri"/>
      <family val="2"/>
    </font>
    <font>
      <sz val="11"/>
      <color indexed="8"/>
      <name val="Calibri"/>
      <family val="2"/>
    </font>
    <font>
      <sz val="10"/>
      <color indexed="63"/>
      <name val="Arial"/>
      <family val="2"/>
    </font>
    <font>
      <sz val="12"/>
      <name val="Verdana"/>
      <family val="2"/>
    </font>
    <font>
      <b/>
      <sz val="15"/>
      <name val="Verdana"/>
      <family val="2"/>
    </font>
    <font>
      <b/>
      <sz val="12"/>
      <color indexed="10"/>
      <name val="Calibri"/>
      <family val="2"/>
    </font>
    <font>
      <sz val="12"/>
      <color indexed="10"/>
      <name val="Calibri"/>
      <family val="2"/>
    </font>
    <font>
      <sz val="11"/>
      <color theme="1"/>
      <name val="Calibri"/>
      <family val="2"/>
      <scheme val="minor"/>
    </font>
    <font>
      <sz val="11"/>
      <color theme="0"/>
      <name val="Calibri"/>
      <family val="2"/>
      <scheme val="minor"/>
    </font>
    <font>
      <sz val="11"/>
      <color rgb="FFFF0000"/>
      <name val="Calibri"/>
      <family val="2"/>
      <scheme val="minor"/>
    </font>
    <font>
      <u/>
      <sz val="11"/>
      <color theme="10"/>
      <name val="Calibri"/>
      <family val="2"/>
    </font>
    <font>
      <b/>
      <sz val="11"/>
      <color theme="1"/>
      <name val="Calibri"/>
      <family val="2"/>
      <scheme val="minor"/>
    </font>
    <font>
      <b/>
      <sz val="11"/>
      <color theme="0"/>
      <name val="Calibri"/>
      <family val="2"/>
      <scheme val="minor"/>
    </font>
    <font>
      <sz val="11"/>
      <color theme="1" tint="0.249977111117893"/>
      <name val="Calibri"/>
      <family val="2"/>
      <scheme val="minor"/>
    </font>
    <font>
      <b/>
      <sz val="12"/>
      <color theme="0"/>
      <name val="Calibri"/>
      <family val="2"/>
      <scheme val="minor"/>
    </font>
    <font>
      <b/>
      <sz val="16"/>
      <color theme="0"/>
      <name val="Calibri"/>
      <family val="2"/>
      <scheme val="minor"/>
    </font>
    <font>
      <b/>
      <sz val="11"/>
      <color rgb="FFFF0000"/>
      <name val="Calibri"/>
      <family val="2"/>
      <scheme val="minor"/>
    </font>
    <font>
      <sz val="11"/>
      <color rgb="FFFF0000"/>
      <name val="Calibri"/>
      <family val="2"/>
    </font>
    <font>
      <b/>
      <sz val="12"/>
      <color theme="1"/>
      <name val="Calibri"/>
      <family val="2"/>
      <scheme val="minor"/>
    </font>
    <font>
      <sz val="11"/>
      <color theme="1"/>
      <name val="Verdana"/>
      <family val="2"/>
    </font>
    <font>
      <sz val="14"/>
      <color theme="0" tint="-0.499984740745262"/>
      <name val="Verdana"/>
      <family val="2"/>
    </font>
    <font>
      <b/>
      <sz val="28"/>
      <color theme="1" tint="0.34998626667073579"/>
      <name val="Verdana"/>
      <family val="2"/>
    </font>
    <font>
      <sz val="24"/>
      <color theme="1" tint="0.34998626667073579"/>
      <name val="Verdana"/>
      <family val="2"/>
    </font>
    <font>
      <sz val="36"/>
      <color theme="0" tint="-0.499984740745262"/>
      <name val="Verdana"/>
      <family val="2"/>
    </font>
    <font>
      <sz val="16"/>
      <color theme="1"/>
      <name val="Verdana"/>
      <family val="2"/>
    </font>
    <font>
      <sz val="18"/>
      <color theme="1"/>
      <name val="Verdana"/>
      <family val="2"/>
    </font>
    <font>
      <b/>
      <sz val="15"/>
      <color theme="1"/>
      <name val="Verdana"/>
      <family val="2"/>
    </font>
    <font>
      <sz val="15"/>
      <color theme="1"/>
      <name val="Verdana"/>
      <family val="2"/>
    </font>
    <font>
      <sz val="15"/>
      <color theme="1" tint="0.249977111117893"/>
      <name val="Verdana"/>
      <family val="2"/>
    </font>
    <font>
      <sz val="16"/>
      <color theme="1" tint="0.34998626667073579"/>
      <name val="Verdana"/>
      <family val="2"/>
    </font>
    <font>
      <sz val="8"/>
      <color rgb="FF595959"/>
      <name val="Verdana"/>
      <family val="2"/>
    </font>
    <font>
      <sz val="8"/>
      <color rgb="FFFFFFFF"/>
      <name val="Verdana"/>
      <family val="2"/>
    </font>
    <font>
      <sz val="7"/>
      <color rgb="FF595959"/>
      <name val="Verdana"/>
      <family val="2"/>
    </font>
    <font>
      <sz val="15"/>
      <color rgb="FF404040"/>
      <name val="Verdana"/>
      <family val="2"/>
    </font>
    <font>
      <sz val="18"/>
      <color theme="1" tint="0.34998626667073579"/>
      <name val="Verdana"/>
      <family val="2"/>
    </font>
    <font>
      <sz val="15"/>
      <color theme="1" tint="0.34998626667073579"/>
      <name val="Verdana"/>
      <family val="2"/>
    </font>
    <font>
      <sz val="20"/>
      <color theme="1" tint="0.34998626667073579"/>
      <name val="Verdana"/>
      <family val="2"/>
    </font>
    <font>
      <sz val="11"/>
      <color rgb="FFFF0000"/>
      <name val="Verdana"/>
      <family val="2"/>
    </font>
    <font>
      <b/>
      <sz val="14"/>
      <color theme="0"/>
      <name val="Calibri"/>
      <family val="2"/>
    </font>
    <font>
      <sz val="12"/>
      <color rgb="FFFF0000"/>
      <name val="Calibri"/>
      <family val="2"/>
      <scheme val="minor"/>
    </font>
    <font>
      <i/>
      <sz val="9"/>
      <color theme="0"/>
      <name val="Calibri"/>
      <family val="2"/>
      <scheme val="minor"/>
    </font>
    <font>
      <sz val="15"/>
      <color rgb="FFFFFFFF"/>
      <name val="Verdana"/>
      <family val="2"/>
    </font>
    <font>
      <sz val="11"/>
      <color theme="0" tint="-0.249977111117893"/>
      <name val="Verdana"/>
      <family val="2"/>
    </font>
    <font>
      <sz val="16"/>
      <color theme="1" tint="0.249977111117893"/>
      <name val="Verdana"/>
      <family val="2"/>
    </font>
    <font>
      <b/>
      <sz val="14"/>
      <color rgb="FF3E4140"/>
      <name val="Calibri"/>
      <family val="2"/>
      <scheme val="minor"/>
    </font>
    <font>
      <sz val="11"/>
      <color rgb="FF3E4140"/>
      <name val="Calibri"/>
      <family val="2"/>
      <scheme val="minor"/>
    </font>
    <font>
      <b/>
      <sz val="11"/>
      <color rgb="FF3E4140"/>
      <name val="Calibri"/>
      <family val="2"/>
    </font>
    <font>
      <b/>
      <u/>
      <sz val="11"/>
      <color rgb="FF3E4140"/>
      <name val="Calibri"/>
      <family val="2"/>
    </font>
    <font>
      <b/>
      <sz val="11"/>
      <color rgb="FF3E4140"/>
      <name val="Calibri"/>
      <family val="2"/>
      <scheme val="minor"/>
    </font>
    <font>
      <sz val="11"/>
      <color rgb="FF3E4140"/>
      <name val="Calibri"/>
      <family val="2"/>
    </font>
    <font>
      <b/>
      <sz val="12"/>
      <color rgb="FF3E4140"/>
      <name val="Calibri"/>
      <family val="2"/>
    </font>
    <font>
      <sz val="14"/>
      <color rgb="FF4BB708"/>
      <name val="Calibri"/>
      <family val="2"/>
      <scheme val="minor"/>
    </font>
    <font>
      <b/>
      <sz val="14"/>
      <color rgb="FF4BB708"/>
      <name val="Calibri"/>
      <family val="2"/>
      <scheme val="minor"/>
    </font>
    <font>
      <sz val="18"/>
      <color rgb="FF3E4140"/>
      <name val="Calibri"/>
      <family val="2"/>
      <scheme val="minor"/>
    </font>
    <font>
      <i/>
      <sz val="8"/>
      <color rgb="FF3E4140"/>
      <name val="Calibri"/>
      <family val="2"/>
      <scheme val="minor"/>
    </font>
    <font>
      <b/>
      <sz val="14"/>
      <name val="Verdana"/>
      <family val="2"/>
    </font>
    <font>
      <b/>
      <sz val="26"/>
      <color theme="1" tint="0.34998626667073579"/>
      <name val="Verdana"/>
      <family val="2"/>
    </font>
    <font>
      <sz val="85"/>
      <color rgb="FFFF0000"/>
      <name val="Verdana"/>
      <family val="2"/>
    </font>
    <font>
      <b/>
      <u/>
      <sz val="11"/>
      <color theme="1"/>
      <name val="Calibri"/>
      <family val="2"/>
    </font>
    <font>
      <b/>
      <sz val="11"/>
      <color theme="1"/>
      <name val="Calibri"/>
      <family val="2"/>
    </font>
    <font>
      <b/>
      <sz val="12"/>
      <color rgb="FF0070C0"/>
      <name val="Calibri"/>
      <family val="2"/>
      <scheme val="minor"/>
    </font>
    <font>
      <sz val="12"/>
      <color rgb="FF3E4140"/>
      <name val="Verdana"/>
      <family val="2"/>
    </font>
    <font>
      <b/>
      <sz val="20"/>
      <color rgb="FF4BB708"/>
      <name val="Calibri"/>
      <family val="2"/>
      <scheme val="minor"/>
    </font>
    <font>
      <sz val="8"/>
      <color indexed="8"/>
      <name val="Calibri"/>
      <family val="2"/>
    </font>
    <font>
      <sz val="11"/>
      <color theme="1"/>
      <name val="Calibri"/>
      <family val="2"/>
      <scheme val="minor"/>
    </font>
    <font>
      <sz val="10"/>
      <color theme="1"/>
      <name val="Calibri"/>
      <family val="2"/>
      <scheme val="minor"/>
    </font>
    <font>
      <b/>
      <sz val="11"/>
      <color rgb="FF4BB708"/>
      <name val="Calibri"/>
      <family val="2"/>
      <scheme val="minor"/>
    </font>
    <font>
      <sz val="11"/>
      <color rgb="FFFF0000"/>
      <name val="Calibri"/>
      <family val="2"/>
      <scheme val="minor"/>
    </font>
    <font>
      <b/>
      <sz val="11"/>
      <color rgb="FFFF0000"/>
      <name val="Calibri"/>
      <family val="2"/>
      <scheme val="minor"/>
    </font>
    <font>
      <b/>
      <sz val="14"/>
      <color theme="0"/>
      <name val="Calibri"/>
      <family val="2"/>
    </font>
    <font>
      <b/>
      <sz val="11"/>
      <color rgb="FF3E4140"/>
      <name val="Calibri"/>
      <family val="2"/>
      <scheme val="minor"/>
    </font>
    <font>
      <b/>
      <sz val="12"/>
      <color rgb="FFFF0000"/>
      <name val="Calibri"/>
      <family val="2"/>
    </font>
    <font>
      <sz val="11"/>
      <color theme="1" tint="0.34998626667073579"/>
      <name val="Calibri"/>
      <family val="2"/>
      <scheme val="minor"/>
    </font>
    <font>
      <b/>
      <sz val="11"/>
      <color theme="1"/>
      <name val="Calibri"/>
      <family val="2"/>
      <scheme val="minor"/>
    </font>
    <font>
      <b/>
      <sz val="16"/>
      <color theme="0"/>
      <name val="Calibri"/>
      <family val="2"/>
    </font>
    <font>
      <b/>
      <sz val="12"/>
      <color rgb="FF3E4140"/>
      <name val="Calibri"/>
      <family val="2"/>
      <scheme val="minor"/>
    </font>
    <font>
      <b/>
      <sz val="12"/>
      <color theme="0"/>
      <name val="Calibri"/>
      <family val="2"/>
      <scheme val="minor"/>
    </font>
    <font>
      <sz val="11"/>
      <color rgb="FF3E4140"/>
      <name val="Calibri"/>
      <family val="2"/>
      <scheme val="minor"/>
    </font>
    <font>
      <sz val="10"/>
      <color rgb="FF232A34"/>
      <name val="Roboto-Regular-webfont"/>
    </font>
  </fonts>
  <fills count="14">
    <fill>
      <patternFill patternType="none"/>
    </fill>
    <fill>
      <patternFill patternType="gray125"/>
    </fill>
    <fill>
      <patternFill patternType="solid">
        <fgColor indexed="9"/>
        <bgColor indexed="64"/>
      </patternFill>
    </fill>
    <fill>
      <patternFill patternType="solid">
        <fgColor theme="1"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49B708"/>
        <bgColor indexed="64"/>
      </patternFill>
    </fill>
    <fill>
      <patternFill patternType="solid">
        <fgColor rgb="FF404040"/>
        <bgColor indexed="64"/>
      </patternFill>
    </fill>
    <fill>
      <patternFill patternType="solid">
        <fgColor rgb="FF4BB708"/>
        <bgColor indexed="64"/>
      </patternFill>
    </fill>
    <fill>
      <patternFill patternType="solid">
        <fgColor rgb="FF89CCFF"/>
        <bgColor indexed="64"/>
      </patternFill>
    </fill>
    <fill>
      <patternFill patternType="solid">
        <fgColor rgb="FFC1E4FF"/>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diagonal/>
    </border>
    <border>
      <left/>
      <right style="thin">
        <color theme="0" tint="-0.14996795556505021"/>
      </right>
      <top style="thin">
        <color theme="0" tint="-0.14996795556505021"/>
      </top>
      <bottom/>
      <diagonal/>
    </border>
    <border>
      <left style="thin">
        <color indexed="64"/>
      </left>
      <right/>
      <top style="thin">
        <color theme="0" tint="-0.24994659260841701"/>
      </top>
      <bottom style="thin">
        <color theme="0" tint="-0.14996795556505021"/>
      </bottom>
      <diagonal/>
    </border>
    <border>
      <left/>
      <right style="thin">
        <color theme="0" tint="-0.14996795556505021"/>
      </right>
      <top style="thin">
        <color theme="0" tint="-0.2499465926084170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thin">
        <color indexed="64"/>
      </right>
      <top style="thin">
        <color theme="0" tint="-0.24994659260841701"/>
      </top>
      <bottom style="thin">
        <color theme="0" tint="-0.14996795556505021"/>
      </bottom>
      <diagonal/>
    </border>
    <border>
      <left style="thin">
        <color indexed="64"/>
      </left>
      <right/>
      <top style="thin">
        <color theme="0" tint="-0.14996795556505021"/>
      </top>
      <bottom style="thin">
        <color indexed="64"/>
      </bottom>
      <diagonal/>
    </border>
    <border>
      <left/>
      <right style="thin">
        <color theme="0" tint="-0.14993743705557422"/>
      </right>
      <top style="thin">
        <color theme="0" tint="-0.14996795556505021"/>
      </top>
      <bottom style="thin">
        <color indexed="64"/>
      </bottom>
      <diagonal/>
    </border>
    <border>
      <left style="thin">
        <color theme="0" tint="-0.14993743705557422"/>
      </left>
      <right/>
      <top style="thin">
        <color theme="0" tint="-0.14993743705557422"/>
      </top>
      <bottom style="thin">
        <color indexed="64"/>
      </bottom>
      <diagonal/>
    </border>
    <border>
      <left/>
      <right/>
      <top style="thin">
        <color theme="0" tint="-0.14993743705557422"/>
      </top>
      <bottom style="thin">
        <color indexed="64"/>
      </bottom>
      <diagonal/>
    </border>
    <border>
      <left/>
      <right style="thin">
        <color indexed="64"/>
      </right>
      <top style="thin">
        <color theme="0" tint="-0.14993743705557422"/>
      </top>
      <bottom style="thin">
        <color indexed="64"/>
      </bottom>
      <diagonal/>
    </border>
    <border>
      <left/>
      <right style="thin">
        <color rgb="FF3E4140"/>
      </right>
      <top/>
      <bottom style="thin">
        <color rgb="FF3E4140"/>
      </bottom>
      <diagonal/>
    </border>
    <border>
      <left style="thin">
        <color rgb="FF3E4140"/>
      </left>
      <right/>
      <top/>
      <bottom style="thin">
        <color rgb="FF3E4140"/>
      </bottom>
      <diagonal/>
    </border>
    <border>
      <left/>
      <right style="thin">
        <color rgb="FF3E4140"/>
      </right>
      <top style="thin">
        <color rgb="FF3E4140"/>
      </top>
      <bottom style="thin">
        <color rgb="FF3E4140"/>
      </bottom>
      <diagonal/>
    </border>
    <border>
      <left style="thin">
        <color rgb="FF3E4140"/>
      </left>
      <right/>
      <top style="thin">
        <color rgb="FF3E4140"/>
      </top>
      <bottom style="thin">
        <color rgb="FF3E4140"/>
      </bottom>
      <diagonal/>
    </border>
    <border>
      <left/>
      <right style="thin">
        <color rgb="FF3E4140"/>
      </right>
      <top style="thin">
        <color rgb="FF3E4140"/>
      </top>
      <bottom/>
      <diagonal/>
    </border>
    <border>
      <left style="thin">
        <color rgb="FF3E4140"/>
      </left>
      <right/>
      <top style="thin">
        <color rgb="FF3E4140"/>
      </top>
      <bottom/>
      <diagonal/>
    </border>
    <border>
      <left style="thin">
        <color rgb="FF3E4140"/>
      </left>
      <right style="thin">
        <color rgb="FF3E4140"/>
      </right>
      <top style="thin">
        <color rgb="FF3E4140"/>
      </top>
      <bottom style="thin">
        <color rgb="FF3E4140"/>
      </bottom>
      <diagonal/>
    </border>
    <border>
      <left style="thin">
        <color rgb="FF3E4140"/>
      </left>
      <right style="thin">
        <color rgb="FF3E4140"/>
      </right>
      <top style="thin">
        <color rgb="FF3E4140"/>
      </top>
      <bottom/>
      <diagonal/>
    </border>
    <border>
      <left/>
      <right/>
      <top style="thin">
        <color rgb="FF3E4140"/>
      </top>
      <bottom style="thin">
        <color rgb="FF3E4140"/>
      </bottom>
      <diagonal/>
    </border>
    <border>
      <left style="thin">
        <color rgb="FF3E4140"/>
      </left>
      <right style="thin">
        <color rgb="FF3E4140"/>
      </right>
      <top/>
      <bottom style="thin">
        <color rgb="FF3E4140"/>
      </bottom>
      <diagonal/>
    </border>
    <border>
      <left style="thick">
        <color rgb="FF4BB708"/>
      </left>
      <right style="thick">
        <color rgb="FF4BB708"/>
      </right>
      <top style="thick">
        <color rgb="FF4BB708"/>
      </top>
      <bottom/>
      <diagonal/>
    </border>
    <border>
      <left style="thick">
        <color rgb="FF4BB708"/>
      </left>
      <right style="thick">
        <color rgb="FF4BB708"/>
      </right>
      <top/>
      <bottom/>
      <diagonal/>
    </border>
    <border>
      <left style="thick">
        <color rgb="FF4BB708"/>
      </left>
      <right style="thick">
        <color rgb="FF4BB708"/>
      </right>
      <top/>
      <bottom style="thick">
        <color rgb="FF4BB708"/>
      </bottom>
      <diagonal/>
    </border>
  </borders>
  <cellStyleXfs count="4">
    <xf numFmtId="0" fontId="0" fillId="0" borderId="0"/>
    <xf numFmtId="0" fontId="16" fillId="0" borderId="0" applyNumberFormat="0" applyFill="0" applyBorder="0" applyAlignment="0" applyProtection="0">
      <alignment vertical="top"/>
      <protection locked="0"/>
    </xf>
    <xf numFmtId="43" fontId="13" fillId="0" borderId="0" applyFont="0" applyFill="0" applyBorder="0" applyAlignment="0" applyProtection="0"/>
    <xf numFmtId="44" fontId="13" fillId="0" borderId="0" applyFont="0" applyFill="0" applyBorder="0" applyAlignment="0" applyProtection="0"/>
  </cellStyleXfs>
  <cellXfs count="430">
    <xf numFmtId="0" fontId="0" fillId="0" borderId="0" xfId="0"/>
    <xf numFmtId="0" fontId="0" fillId="0" borderId="1" xfId="0" applyBorder="1"/>
    <xf numFmtId="0" fontId="4" fillId="2" borderId="1" xfId="0" applyFont="1" applyFill="1" applyBorder="1" applyAlignment="1">
      <alignment horizontal="center" vertical="center" wrapText="1"/>
    </xf>
    <xf numFmtId="0" fontId="0" fillId="0" borderId="0" xfId="0" applyBorder="1"/>
    <xf numFmtId="0" fontId="1" fillId="0" borderId="3" xfId="0" applyFont="1" applyBorder="1" applyAlignment="1">
      <alignment horizontal="center"/>
    </xf>
    <xf numFmtId="0" fontId="0" fillId="0" borderId="6" xfId="0" applyBorder="1"/>
    <xf numFmtId="0" fontId="0" fillId="0" borderId="7" xfId="0" applyBorder="1"/>
    <xf numFmtId="0" fontId="0" fillId="0" borderId="0" xfId="0" applyProtection="1">
      <protection locked="0"/>
    </xf>
    <xf numFmtId="0" fontId="16" fillId="0" borderId="0" xfId="1" applyAlignment="1" applyProtection="1">
      <alignment readingOrder="1"/>
    </xf>
    <xf numFmtId="0" fontId="0" fillId="4" borderId="0" xfId="0" applyFill="1"/>
    <xf numFmtId="0" fontId="6" fillId="0" borderId="0" xfId="0" applyFont="1"/>
    <xf numFmtId="0" fontId="0" fillId="0" borderId="9" xfId="0" applyBorder="1"/>
    <xf numFmtId="0" fontId="0" fillId="0" borderId="10" xfId="0" applyBorder="1"/>
    <xf numFmtId="0" fontId="0" fillId="0" borderId="4" xfId="0" applyBorder="1"/>
    <xf numFmtId="0" fontId="0" fillId="6" borderId="1" xfId="0" applyFill="1" applyBorder="1"/>
    <xf numFmtId="0" fontId="19" fillId="0" borderId="0" xfId="0" applyFont="1" applyAlignment="1">
      <alignment readingOrder="1"/>
    </xf>
    <xf numFmtId="0" fontId="6" fillId="0" borderId="0" xfId="0" applyFont="1" applyProtection="1"/>
    <xf numFmtId="0" fontId="0" fillId="0" borderId="0" xfId="0" applyProtection="1"/>
    <xf numFmtId="0" fontId="22" fillId="0" borderId="0" xfId="0" applyFont="1" applyAlignment="1" applyProtection="1">
      <alignment vertical="center" wrapText="1"/>
    </xf>
    <xf numFmtId="0" fontId="3" fillId="0" borderId="0" xfId="0" applyFont="1" applyBorder="1" applyAlignment="1" applyProtection="1">
      <alignment horizontal="center" vertical="center"/>
    </xf>
    <xf numFmtId="0" fontId="0" fillId="0" borderId="0" xfId="0" applyBorder="1" applyProtection="1"/>
    <xf numFmtId="0" fontId="0" fillId="0" borderId="0" xfId="0" applyFill="1" applyBorder="1" applyProtection="1"/>
    <xf numFmtId="4" fontId="0" fillId="0" borderId="0" xfId="0" applyNumberFormat="1" applyBorder="1" applyProtection="1"/>
    <xf numFmtId="0" fontId="0" fillId="0" borderId="1" xfId="0" applyBorder="1" applyProtection="1"/>
    <xf numFmtId="0" fontId="16" fillId="0" borderId="0" xfId="1" applyBorder="1" applyAlignment="1" applyProtection="1"/>
    <xf numFmtId="0" fontId="15" fillId="0" borderId="0" xfId="0" applyFont="1" applyFill="1"/>
    <xf numFmtId="0" fontId="15" fillId="0" borderId="1" xfId="0" applyFont="1" applyFill="1" applyBorder="1"/>
    <xf numFmtId="0" fontId="23" fillId="0" borderId="1" xfId="0" applyFont="1" applyFill="1" applyBorder="1" applyAlignment="1">
      <alignment horizontal="center" vertical="center" wrapText="1"/>
    </xf>
    <xf numFmtId="0" fontId="23" fillId="0" borderId="3" xfId="0" applyFont="1" applyFill="1" applyBorder="1" applyAlignment="1">
      <alignment horizontal="center"/>
    </xf>
    <xf numFmtId="0" fontId="15" fillId="0" borderId="0" xfId="0" applyFont="1"/>
    <xf numFmtId="0" fontId="6" fillId="4" borderId="0" xfId="0" applyFont="1" applyFill="1"/>
    <xf numFmtId="0" fontId="0" fillId="0" borderId="0" xfId="0" applyFill="1" applyBorder="1"/>
    <xf numFmtId="0" fontId="0" fillId="0" borderId="0" xfId="0" applyFill="1" applyAlignment="1" applyProtection="1">
      <alignment horizontal="center" vertical="center"/>
    </xf>
    <xf numFmtId="0" fontId="0" fillId="0" borderId="0" xfId="0" applyAlignment="1" applyProtection="1">
      <alignment horizontal="center" vertical="center"/>
    </xf>
    <xf numFmtId="4" fontId="17" fillId="0" borderId="0" xfId="2" applyNumberFormat="1" applyFont="1" applyProtection="1"/>
    <xf numFmtId="0" fontId="0" fillId="0" borderId="1" xfId="0" applyFill="1" applyBorder="1" applyAlignment="1" applyProtection="1">
      <alignment horizontal="center" vertical="center"/>
    </xf>
    <xf numFmtId="7" fontId="0" fillId="0" borderId="1" xfId="0" applyNumberFormat="1" applyBorder="1" applyProtection="1"/>
    <xf numFmtId="0" fontId="0" fillId="7" borderId="1" xfId="0" applyFill="1" applyBorder="1"/>
    <xf numFmtId="0" fontId="4" fillId="0" borderId="0" xfId="0" applyFont="1" applyAlignment="1">
      <alignment horizontal="right"/>
    </xf>
    <xf numFmtId="3" fontId="0" fillId="7" borderId="2" xfId="0" applyNumberFormat="1" applyFill="1" applyBorder="1" applyProtection="1"/>
    <xf numFmtId="164" fontId="0" fillId="7" borderId="0" xfId="0" applyNumberFormat="1" applyFill="1" applyProtection="1"/>
    <xf numFmtId="0" fontId="0" fillId="1" borderId="1" xfId="0" applyFill="1" applyBorder="1" applyProtection="1"/>
    <xf numFmtId="0" fontId="15" fillId="0" borderId="1" xfId="0" applyFont="1" applyBorder="1" applyAlignment="1" applyProtection="1">
      <alignment horizontal="right"/>
    </xf>
    <xf numFmtId="0" fontId="0" fillId="4" borderId="1" xfId="0" applyFill="1" applyBorder="1"/>
    <xf numFmtId="0" fontId="13" fillId="4" borderId="1" xfId="2" applyNumberFormat="1" applyFont="1" applyFill="1" applyBorder="1"/>
    <xf numFmtId="0" fontId="24" fillId="0" borderId="0" xfId="0" applyFont="1" applyFill="1" applyBorder="1" applyAlignment="1">
      <alignment horizontal="center" vertical="center"/>
    </xf>
    <xf numFmtId="0" fontId="20" fillId="0" borderId="0" xfId="0" applyFont="1" applyFill="1" applyBorder="1" applyAlignment="1">
      <alignment vertical="center"/>
    </xf>
    <xf numFmtId="0" fontId="24" fillId="0" borderId="0" xfId="0" applyFont="1" applyFill="1" applyBorder="1" applyAlignment="1">
      <alignment vertical="center"/>
    </xf>
    <xf numFmtId="0" fontId="20"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Alignment="1" applyProtection="1">
      <alignment wrapText="1"/>
    </xf>
    <xf numFmtId="0" fontId="15" fillId="0" borderId="0" xfId="0" applyFont="1" applyAlignment="1" applyProtection="1">
      <alignment horizontal="center"/>
    </xf>
    <xf numFmtId="0" fontId="0" fillId="0" borderId="0" xfId="0" applyBorder="1" applyAlignment="1" applyProtection="1">
      <alignment vertical="center"/>
    </xf>
    <xf numFmtId="0" fontId="0" fillId="0" borderId="0" xfId="0" applyAlignment="1" applyProtection="1">
      <alignment horizontal="left" vertical="top" wrapText="1"/>
    </xf>
    <xf numFmtId="164" fontId="0" fillId="0" borderId="0" xfId="0" applyNumberFormat="1"/>
    <xf numFmtId="0" fontId="19" fillId="0" borderId="0" xfId="0" applyFont="1" applyBorder="1" applyAlignment="1">
      <alignment horizontal="center" vertical="center" wrapText="1"/>
    </xf>
    <xf numFmtId="0" fontId="0" fillId="0" borderId="0" xfId="0" applyFill="1" applyBorder="1" applyAlignment="1" applyProtection="1">
      <alignment horizontal="center" vertical="center"/>
    </xf>
    <xf numFmtId="0" fontId="0" fillId="4" borderId="0" xfId="0" applyFill="1" applyBorder="1" applyAlignment="1">
      <alignment horizontal="left" vertical="center" wrapText="1"/>
    </xf>
    <xf numFmtId="0" fontId="15" fillId="0" borderId="0" xfId="0" applyFont="1" applyAlignment="1" applyProtection="1">
      <alignment horizontal="left" vertical="top" wrapText="1"/>
    </xf>
    <xf numFmtId="0" fontId="25" fillId="0" borderId="0" xfId="0" applyFont="1" applyFill="1"/>
    <xf numFmtId="0" fontId="25" fillId="8" borderId="0" xfId="0" applyFont="1" applyFill="1"/>
    <xf numFmtId="0" fontId="25" fillId="0" borderId="0" xfId="0" applyFont="1"/>
    <xf numFmtId="0" fontId="25" fillId="4" borderId="0" xfId="0" applyFont="1" applyFill="1"/>
    <xf numFmtId="14" fontId="26" fillId="4" borderId="0" xfId="0" applyNumberFormat="1" applyFont="1" applyFill="1"/>
    <xf numFmtId="0" fontId="28" fillId="0" borderId="0" xfId="0" applyFont="1" applyAlignment="1" applyProtection="1">
      <alignment vertical="top" wrapText="1"/>
    </xf>
    <xf numFmtId="0" fontId="29" fillId="4" borderId="0" xfId="0" applyFont="1" applyFill="1" applyAlignment="1">
      <alignment vertical="center"/>
    </xf>
    <xf numFmtId="0" fontId="25" fillId="0" borderId="0" xfId="0" applyFont="1" applyAlignment="1"/>
    <xf numFmtId="0" fontId="9" fillId="0" borderId="0" xfId="0" applyFont="1" applyAlignment="1">
      <alignment vertical="top" wrapText="1"/>
    </xf>
    <xf numFmtId="0" fontId="30" fillId="0" borderId="0" xfId="0" applyFont="1" applyAlignment="1">
      <alignment vertical="top" wrapText="1"/>
    </xf>
    <xf numFmtId="0" fontId="25" fillId="0" borderId="0" xfId="0" applyFont="1" applyBorder="1"/>
    <xf numFmtId="0" fontId="31" fillId="0" borderId="0" xfId="0" applyFont="1" applyAlignment="1">
      <alignment horizontal="left"/>
    </xf>
    <xf numFmtId="0" fontId="30" fillId="0" borderId="0" xfId="0" applyFont="1"/>
    <xf numFmtId="165" fontId="32" fillId="5" borderId="1" xfId="2" applyNumberFormat="1" applyFont="1" applyFill="1" applyBorder="1" applyAlignment="1"/>
    <xf numFmtId="167" fontId="32" fillId="5" borderId="1" xfId="2" applyNumberFormat="1" applyFont="1" applyFill="1" applyBorder="1" applyAlignment="1"/>
    <xf numFmtId="0" fontId="33" fillId="0" borderId="0" xfId="0" applyFont="1"/>
    <xf numFmtId="0" fontId="32" fillId="5" borderId="1" xfId="0" applyFont="1" applyFill="1" applyBorder="1" applyAlignment="1">
      <alignment horizontal="center" vertical="center" wrapText="1"/>
    </xf>
    <xf numFmtId="0" fontId="32" fillId="5" borderId="1" xfId="0" applyFont="1" applyFill="1" applyBorder="1" applyAlignment="1">
      <alignment horizontal="center" vertical="center"/>
    </xf>
    <xf numFmtId="0" fontId="34" fillId="0" borderId="1" xfId="0" applyFont="1" applyBorder="1" applyAlignment="1">
      <alignment horizontal="right" vertical="center" wrapText="1"/>
    </xf>
    <xf numFmtId="166" fontId="34" fillId="0" borderId="1" xfId="0" applyNumberFormat="1" applyFont="1" applyBorder="1" applyAlignment="1">
      <alignment horizontal="right" vertical="center" wrapText="1"/>
    </xf>
    <xf numFmtId="0" fontId="34" fillId="0" borderId="1" xfId="0" applyFont="1" applyBorder="1" applyAlignment="1">
      <alignment horizontal="right" vertical="center"/>
    </xf>
    <xf numFmtId="165" fontId="34" fillId="0" borderId="1" xfId="2" applyNumberFormat="1" applyFont="1" applyBorder="1" applyAlignment="1">
      <alignment horizontal="right" vertical="center"/>
    </xf>
    <xf numFmtId="7" fontId="34" fillId="0" borderId="1" xfId="2" applyNumberFormat="1" applyFont="1" applyBorder="1" applyAlignment="1">
      <alignment horizontal="right" vertical="center"/>
    </xf>
    <xf numFmtId="0" fontId="33" fillId="5" borderId="1" xfId="0" applyFont="1" applyFill="1" applyBorder="1"/>
    <xf numFmtId="0" fontId="10" fillId="5" borderId="1" xfId="0" applyFont="1" applyFill="1" applyBorder="1" applyAlignment="1">
      <alignment horizontal="center" vertical="center" wrapText="1"/>
    </xf>
    <xf numFmtId="0" fontId="34" fillId="4" borderId="1" xfId="0" applyFont="1" applyFill="1" applyBorder="1" applyAlignment="1">
      <alignment horizontal="right" vertical="center" wrapText="1"/>
    </xf>
    <xf numFmtId="0" fontId="34" fillId="0" borderId="1" xfId="2" applyNumberFormat="1" applyFont="1" applyBorder="1" applyAlignment="1">
      <alignment horizontal="right" vertical="center" wrapText="1"/>
    </xf>
    <xf numFmtId="166" fontId="34" fillId="0" borderId="9" xfId="0" applyNumberFormat="1" applyFont="1" applyBorder="1" applyAlignment="1">
      <alignment horizontal="right" vertical="center" wrapText="1"/>
    </xf>
    <xf numFmtId="165" fontId="34" fillId="0" borderId="9" xfId="0" applyNumberFormat="1" applyFont="1" applyBorder="1" applyAlignment="1">
      <alignment horizontal="right" vertical="center" wrapText="1"/>
    </xf>
    <xf numFmtId="7" fontId="34" fillId="0" borderId="1" xfId="0" applyNumberFormat="1" applyFont="1" applyBorder="1" applyAlignment="1">
      <alignment horizontal="right" vertical="center" wrapText="1"/>
    </xf>
    <xf numFmtId="0" fontId="10" fillId="5" borderId="1" xfId="0" applyFont="1" applyFill="1" applyBorder="1" applyAlignment="1">
      <alignment horizontal="center" vertical="center"/>
    </xf>
    <xf numFmtId="166" fontId="34" fillId="0" borderId="1" xfId="0" applyNumberFormat="1" applyFont="1" applyBorder="1" applyAlignment="1">
      <alignment vertical="center" wrapText="1"/>
    </xf>
    <xf numFmtId="0" fontId="34" fillId="0" borderId="1" xfId="0" applyNumberFormat="1" applyFont="1" applyBorder="1" applyAlignment="1">
      <alignment vertical="center" wrapText="1"/>
    </xf>
    <xf numFmtId="165" fontId="34" fillId="0" borderId="1" xfId="2" applyNumberFormat="1" applyFont="1" applyBorder="1" applyAlignment="1">
      <alignment vertical="center"/>
    </xf>
    <xf numFmtId="7" fontId="34" fillId="0" borderId="1" xfId="2" applyNumberFormat="1" applyFont="1" applyBorder="1" applyAlignment="1">
      <alignment vertical="center"/>
    </xf>
    <xf numFmtId="0" fontId="34" fillId="0" borderId="1" xfId="0" applyFont="1" applyBorder="1" applyAlignment="1">
      <alignment horizontal="right"/>
    </xf>
    <xf numFmtId="166" fontId="34" fillId="0" borderId="1" xfId="0" applyNumberFormat="1" applyFont="1" applyBorder="1" applyAlignment="1">
      <alignment horizontal="right" wrapText="1"/>
    </xf>
    <xf numFmtId="0" fontId="34" fillId="5" borderId="6" xfId="0" applyFont="1" applyFill="1" applyBorder="1" applyAlignment="1">
      <alignment horizontal="center" vertical="center" wrapText="1"/>
    </xf>
    <xf numFmtId="0" fontId="34" fillId="0" borderId="1" xfId="0" applyFont="1" applyBorder="1" applyAlignment="1">
      <alignment horizontal="right" wrapText="1"/>
    </xf>
    <xf numFmtId="0" fontId="33" fillId="0" borderId="0" xfId="0" applyFont="1" applyFill="1"/>
    <xf numFmtId="0" fontId="35" fillId="0" borderId="0" xfId="0" applyFont="1"/>
    <xf numFmtId="0" fontId="36" fillId="0" borderId="0" xfId="0" applyFont="1" applyAlignment="1">
      <alignment vertical="center"/>
    </xf>
    <xf numFmtId="0" fontId="37" fillId="0" borderId="0" xfId="0" applyFont="1" applyAlignment="1">
      <alignment horizontal="center" vertical="center"/>
    </xf>
    <xf numFmtId="0" fontId="38" fillId="0" borderId="0" xfId="0" applyFont="1" applyAlignment="1">
      <alignment vertical="center"/>
    </xf>
    <xf numFmtId="0" fontId="39" fillId="0" borderId="1" xfId="0" applyFont="1" applyBorder="1" applyAlignment="1">
      <alignment vertical="center"/>
    </xf>
    <xf numFmtId="0" fontId="0" fillId="0" borderId="14" xfId="0" applyBorder="1"/>
    <xf numFmtId="0" fontId="25" fillId="0" borderId="14" xfId="0" applyFont="1" applyBorder="1"/>
    <xf numFmtId="0" fontId="0" fillId="0" borderId="3" xfId="0" applyBorder="1"/>
    <xf numFmtId="0" fontId="25" fillId="0" borderId="3" xfId="0" applyFont="1" applyBorder="1"/>
    <xf numFmtId="0" fontId="36" fillId="0" borderId="3" xfId="0" applyFont="1" applyBorder="1" applyAlignment="1">
      <alignment vertical="center"/>
    </xf>
    <xf numFmtId="0" fontId="40" fillId="0" borderId="0" xfId="0" applyFont="1" applyAlignment="1">
      <alignment horizontal="left"/>
    </xf>
    <xf numFmtId="0" fontId="35" fillId="0" borderId="0" xfId="0" applyFont="1" applyAlignment="1">
      <alignment vertical="center" wrapText="1"/>
    </xf>
    <xf numFmtId="0" fontId="41" fillId="0" borderId="1" xfId="0" applyFont="1" applyBorder="1" applyAlignment="1">
      <alignment vertical="center"/>
    </xf>
    <xf numFmtId="0" fontId="41" fillId="0" borderId="15" xfId="0" applyFont="1" applyBorder="1" applyAlignment="1">
      <alignment vertical="center"/>
    </xf>
    <xf numFmtId="0" fontId="41" fillId="0" borderId="1" xfId="0" applyFont="1" applyBorder="1"/>
    <xf numFmtId="0" fontId="42" fillId="4" borderId="0" xfId="0" applyFont="1" applyFill="1" applyAlignment="1">
      <alignment horizontal="left"/>
    </xf>
    <xf numFmtId="14" fontId="42" fillId="4" borderId="0" xfId="0" applyNumberFormat="1" applyFont="1" applyFill="1" applyAlignment="1">
      <alignment horizontal="left"/>
    </xf>
    <xf numFmtId="0" fontId="35" fillId="0" borderId="0" xfId="0" applyFont="1" applyAlignment="1">
      <alignment horizontal="justify" vertical="top" wrapText="1"/>
    </xf>
    <xf numFmtId="0" fontId="43" fillId="4" borderId="0" xfId="0" applyFont="1" applyFill="1" applyAlignment="1">
      <alignment horizontal="center"/>
    </xf>
    <xf numFmtId="0" fontId="21" fillId="11" borderId="0" xfId="0" applyFont="1" applyFill="1" applyBorder="1" applyAlignment="1">
      <alignment horizontal="center" vertical="center"/>
    </xf>
    <xf numFmtId="0" fontId="50" fillId="0" borderId="0" xfId="0" applyFont="1" applyAlignment="1">
      <alignment horizontal="center" vertical="center"/>
    </xf>
    <xf numFmtId="0" fontId="51" fillId="0" borderId="0" xfId="0" applyFont="1" applyAlignment="1">
      <alignment wrapText="1"/>
    </xf>
    <xf numFmtId="0" fontId="51" fillId="0" borderId="0" xfId="0" applyFont="1"/>
    <xf numFmtId="0" fontId="0" fillId="11" borderId="44" xfId="0" applyFill="1" applyBorder="1" applyAlignment="1" applyProtection="1">
      <alignment horizontal="center"/>
    </xf>
    <xf numFmtId="0" fontId="20" fillId="11" borderId="44" xfId="0" applyFont="1" applyFill="1" applyBorder="1" applyAlignment="1" applyProtection="1">
      <alignment horizontal="center" vertical="center"/>
    </xf>
    <xf numFmtId="0" fontId="54" fillId="5" borderId="44" xfId="0" applyFont="1" applyFill="1" applyBorder="1" applyProtection="1"/>
    <xf numFmtId="0" fontId="51" fillId="0" borderId="44" xfId="0" applyFont="1" applyBorder="1" applyProtection="1">
      <protection locked="0"/>
    </xf>
    <xf numFmtId="3" fontId="20" fillId="11" borderId="44" xfId="0" applyNumberFormat="1" applyFont="1" applyFill="1" applyBorder="1" applyAlignment="1" applyProtection="1">
      <alignment horizontal="right"/>
    </xf>
    <xf numFmtId="3" fontId="51" fillId="5" borderId="44" xfId="0" applyNumberFormat="1" applyFont="1" applyFill="1" applyBorder="1" applyProtection="1"/>
    <xf numFmtId="3" fontId="18" fillId="11" borderId="44" xfId="0" applyNumberFormat="1" applyFont="1" applyFill="1" applyBorder="1" applyAlignment="1" applyProtection="1">
      <alignment horizontal="right"/>
    </xf>
    <xf numFmtId="164" fontId="52" fillId="5" borderId="44" xfId="0" applyNumberFormat="1" applyFont="1" applyFill="1" applyBorder="1" applyProtection="1"/>
    <xf numFmtId="164" fontId="55" fillId="5" borderId="44" xfId="0" applyNumberFormat="1" applyFont="1" applyFill="1" applyBorder="1" applyProtection="1"/>
    <xf numFmtId="164" fontId="7" fillId="5" borderId="44" xfId="0" applyNumberFormat="1" applyFont="1" applyFill="1" applyBorder="1" applyProtection="1"/>
    <xf numFmtId="0" fontId="0" fillId="11" borderId="44" xfId="0" applyFill="1" applyBorder="1" applyAlignment="1">
      <alignment horizontal="center"/>
    </xf>
    <xf numFmtId="0" fontId="20" fillId="11" borderId="44" xfId="0" applyFont="1" applyFill="1" applyBorder="1" applyAlignment="1">
      <alignment horizontal="center" vertical="center"/>
    </xf>
    <xf numFmtId="0" fontId="54" fillId="5" borderId="44" xfId="0" applyFont="1" applyFill="1" applyBorder="1"/>
    <xf numFmtId="3" fontId="14" fillId="11" borderId="44" xfId="0" applyNumberFormat="1" applyFont="1" applyFill="1" applyBorder="1" applyAlignment="1">
      <alignment horizontal="right"/>
    </xf>
    <xf numFmtId="164" fontId="52" fillId="5" borderId="44" xfId="0" applyNumberFormat="1" applyFont="1" applyFill="1" applyBorder="1"/>
    <xf numFmtId="164" fontId="2" fillId="5" borderId="44" xfId="0" applyNumberFormat="1" applyFont="1" applyFill="1" applyBorder="1"/>
    <xf numFmtId="0" fontId="0" fillId="11" borderId="44" xfId="0" applyFill="1" applyBorder="1"/>
    <xf numFmtId="164" fontId="2" fillId="5" borderId="44" xfId="3" applyNumberFormat="1" applyFont="1" applyFill="1" applyBorder="1"/>
    <xf numFmtId="44" fontId="2" fillId="5" borderId="44" xfId="3" applyFont="1" applyFill="1" applyBorder="1" applyAlignment="1">
      <alignment horizontal="right"/>
    </xf>
    <xf numFmtId="0" fontId="0" fillId="4" borderId="0" xfId="0" applyFill="1" applyBorder="1"/>
    <xf numFmtId="0" fontId="60" fillId="3" borderId="4" xfId="0" applyFont="1" applyFill="1" applyBorder="1" applyAlignment="1"/>
    <xf numFmtId="0" fontId="60" fillId="3" borderId="3" xfId="0" applyFont="1" applyFill="1" applyBorder="1" applyAlignment="1"/>
    <xf numFmtId="0" fontId="60" fillId="3" borderId="5" xfId="0" applyFont="1" applyFill="1" applyBorder="1" applyAlignment="1"/>
    <xf numFmtId="0" fontId="51" fillId="0" borderId="0" xfId="0" applyFont="1" applyBorder="1" applyAlignment="1"/>
    <xf numFmtId="0" fontId="54" fillId="5" borderId="1" xfId="0" applyFont="1" applyFill="1" applyBorder="1" applyAlignment="1">
      <alignment horizontal="center" vertical="center" wrapText="1"/>
    </xf>
    <xf numFmtId="0" fontId="54" fillId="5" borderId="1" xfId="0" applyFont="1" applyFill="1" applyBorder="1" applyAlignment="1">
      <alignment horizontal="center" vertical="center"/>
    </xf>
    <xf numFmtId="0" fontId="51" fillId="0" borderId="1" xfId="0" applyFont="1" applyBorder="1" applyAlignment="1">
      <alignment horizontal="right" wrapText="1"/>
    </xf>
    <xf numFmtId="166" fontId="51" fillId="0" borderId="1" xfId="0" applyNumberFormat="1" applyFont="1" applyBorder="1" applyAlignment="1">
      <alignment horizontal="right" wrapText="1"/>
    </xf>
    <xf numFmtId="0" fontId="51" fillId="0" borderId="1" xfId="0" applyFont="1" applyBorder="1" applyAlignment="1">
      <alignment horizontal="right"/>
    </xf>
    <xf numFmtId="165" fontId="51" fillId="0" borderId="1" xfId="2" applyNumberFormat="1" applyFont="1" applyBorder="1" applyAlignment="1">
      <alignment vertical="center"/>
    </xf>
    <xf numFmtId="7" fontId="51" fillId="0" borderId="1" xfId="2" applyNumberFormat="1" applyFont="1" applyBorder="1" applyAlignment="1">
      <alignment vertical="center"/>
    </xf>
    <xf numFmtId="0" fontId="51" fillId="5" borderId="1" xfId="0" applyFont="1" applyFill="1" applyBorder="1"/>
    <xf numFmtId="0" fontId="54" fillId="5" borderId="1" xfId="2" applyNumberFormat="1" applyFont="1" applyFill="1" applyBorder="1" applyAlignment="1">
      <alignment horizontal="center" vertical="center"/>
    </xf>
    <xf numFmtId="165" fontId="51" fillId="5" borderId="1" xfId="2" applyNumberFormat="1" applyFont="1" applyFill="1" applyBorder="1" applyAlignment="1">
      <alignment vertical="center"/>
    </xf>
    <xf numFmtId="0" fontId="51" fillId="4" borderId="1" xfId="0" applyFont="1" applyFill="1" applyBorder="1" applyAlignment="1">
      <alignment horizontal="right" vertical="center" wrapText="1"/>
    </xf>
    <xf numFmtId="166" fontId="51" fillId="0" borderId="1" xfId="0" applyNumberFormat="1" applyFont="1" applyBorder="1" applyAlignment="1">
      <alignment vertical="center" wrapText="1"/>
    </xf>
    <xf numFmtId="0" fontId="51" fillId="0" borderId="1" xfId="2" applyNumberFormat="1" applyFont="1" applyBorder="1" applyAlignment="1">
      <alignment vertical="center"/>
    </xf>
    <xf numFmtId="0" fontId="51" fillId="0" borderId="1" xfId="2" applyNumberFormat="1" applyFont="1" applyBorder="1" applyAlignment="1">
      <alignment horizontal="right" vertical="center" wrapText="1"/>
    </xf>
    <xf numFmtId="0" fontId="51" fillId="0" borderId="1" xfId="0" applyFont="1" applyBorder="1" applyAlignment="1">
      <alignment horizontal="right" vertical="center" wrapText="1"/>
    </xf>
    <xf numFmtId="0" fontId="54" fillId="5" borderId="12" xfId="0" applyFont="1" applyFill="1" applyBorder="1" applyAlignment="1">
      <alignment horizontal="center" vertical="center"/>
    </xf>
    <xf numFmtId="0" fontId="51" fillId="0" borderId="1" xfId="0" applyFont="1" applyBorder="1"/>
    <xf numFmtId="4" fontId="51" fillId="0" borderId="1" xfId="0" applyNumberFormat="1" applyFont="1" applyBorder="1"/>
    <xf numFmtId="164" fontId="51" fillId="0" borderId="1" xfId="0" applyNumberFormat="1" applyFont="1" applyBorder="1"/>
    <xf numFmtId="0" fontId="51" fillId="5" borderId="6" xfId="0" applyFont="1" applyFill="1" applyBorder="1" applyAlignment="1">
      <alignment horizontal="center" vertical="center" wrapText="1"/>
    </xf>
    <xf numFmtId="4" fontId="51" fillId="5" borderId="1" xfId="0" applyNumberFormat="1" applyFont="1" applyFill="1" applyBorder="1"/>
    <xf numFmtId="164" fontId="51" fillId="5" borderId="1" xfId="0" applyNumberFormat="1" applyFont="1" applyFill="1" applyBorder="1"/>
    <xf numFmtId="0" fontId="51" fillId="0" borderId="1" xfId="0" applyFont="1" applyBorder="1" applyAlignment="1">
      <alignment wrapText="1"/>
    </xf>
    <xf numFmtId="165" fontId="54" fillId="5" borderId="1" xfId="2" applyNumberFormat="1" applyFont="1" applyFill="1" applyBorder="1" applyAlignment="1"/>
    <xf numFmtId="167" fontId="51" fillId="5" borderId="1" xfId="2" applyNumberFormat="1" applyFont="1" applyFill="1" applyBorder="1" applyAlignment="1"/>
    <xf numFmtId="0" fontId="51" fillId="0" borderId="6" xfId="0" applyFont="1" applyBorder="1" applyAlignment="1">
      <alignment vertical="justify" wrapText="1"/>
    </xf>
    <xf numFmtId="0" fontId="51" fillId="0" borderId="0" xfId="0" applyFont="1" applyBorder="1" applyAlignment="1">
      <alignment vertical="justify" wrapText="1"/>
    </xf>
    <xf numFmtId="0" fontId="51" fillId="0" borderId="0" xfId="0" applyFont="1" applyBorder="1" applyAlignment="1">
      <alignment vertical="justify"/>
    </xf>
    <xf numFmtId="0" fontId="51" fillId="0" borderId="7" xfId="0" applyFont="1" applyBorder="1" applyAlignment="1">
      <alignment vertical="justify"/>
    </xf>
    <xf numFmtId="0" fontId="51" fillId="0" borderId="6" xfId="0" applyFont="1" applyBorder="1"/>
    <xf numFmtId="0" fontId="51" fillId="0" borderId="0" xfId="0" applyFont="1" applyBorder="1"/>
    <xf numFmtId="0" fontId="51" fillId="0" borderId="7" xfId="0" applyFont="1" applyBorder="1"/>
    <xf numFmtId="0" fontId="51" fillId="0" borderId="0" xfId="0" applyFont="1" applyBorder="1" applyAlignment="1">
      <alignment horizontal="right"/>
    </xf>
    <xf numFmtId="0" fontId="51" fillId="0" borderId="0" xfId="0" applyFont="1" applyAlignment="1">
      <alignment readingOrder="1"/>
    </xf>
    <xf numFmtId="0" fontId="35" fillId="0" borderId="0" xfId="0" applyFont="1" applyAlignment="1">
      <alignment horizontal="justify" vertical="top" wrapText="1"/>
    </xf>
    <xf numFmtId="0" fontId="61" fillId="5" borderId="1" xfId="2" applyNumberFormat="1" applyFont="1" applyFill="1" applyBorder="1" applyAlignment="1">
      <alignment horizontal="center" vertical="center"/>
    </xf>
    <xf numFmtId="0" fontId="32" fillId="5" borderId="15" xfId="0" applyFont="1" applyFill="1" applyBorder="1" applyAlignment="1">
      <alignment vertical="center"/>
    </xf>
    <xf numFmtId="0" fontId="32" fillId="5" borderId="17" xfId="0" applyFont="1" applyFill="1" applyBorder="1" applyAlignment="1">
      <alignment vertical="center"/>
    </xf>
    <xf numFmtId="0" fontId="32" fillId="5" borderId="12" xfId="0" applyFont="1" applyFill="1" applyBorder="1" applyAlignment="1">
      <alignment vertical="center"/>
    </xf>
    <xf numFmtId="0" fontId="51" fillId="0" borderId="0" xfId="0" applyFont="1" applyBorder="1" applyAlignment="1">
      <alignment horizontal="left"/>
    </xf>
    <xf numFmtId="0" fontId="59" fillId="4" borderId="0" xfId="0" applyFont="1" applyFill="1" applyBorder="1" applyAlignment="1">
      <alignment horizontal="center" vertical="center" wrapText="1"/>
    </xf>
    <xf numFmtId="0" fontId="51" fillId="0" borderId="0" xfId="0" applyFont="1" applyBorder="1" applyAlignment="1">
      <alignment horizontal="left" vertical="justify" wrapText="1"/>
    </xf>
    <xf numFmtId="0" fontId="51" fillId="0" borderId="0" xfId="0" applyFont="1" applyBorder="1" applyAlignment="1">
      <alignment horizontal="left" vertical="justify"/>
    </xf>
    <xf numFmtId="0" fontId="54" fillId="5" borderId="6" xfId="0" applyFont="1" applyFill="1" applyBorder="1" applyAlignment="1">
      <alignment horizontal="right"/>
    </xf>
    <xf numFmtId="0" fontId="54" fillId="5" borderId="0" xfId="0" applyFont="1" applyFill="1" applyBorder="1" applyAlignment="1">
      <alignment horizontal="right"/>
    </xf>
    <xf numFmtId="0" fontId="54" fillId="4" borderId="0" xfId="0" applyFont="1" applyFill="1" applyBorder="1" applyAlignment="1">
      <alignment horizontal="center" vertical="center" wrapText="1"/>
    </xf>
    <xf numFmtId="0" fontId="54" fillId="4" borderId="0" xfId="0" applyNumberFormat="1" applyFont="1" applyFill="1" applyBorder="1" applyAlignment="1">
      <alignment horizontal="center" vertical="center" wrapText="1"/>
    </xf>
    <xf numFmtId="7" fontId="51" fillId="0" borderId="0" xfId="2" applyNumberFormat="1" applyFont="1" applyBorder="1" applyAlignment="1">
      <alignment vertical="center"/>
    </xf>
    <xf numFmtId="164" fontId="51" fillId="0" borderId="0" xfId="0" applyNumberFormat="1" applyFont="1" applyBorder="1"/>
    <xf numFmtId="165" fontId="54" fillId="5" borderId="0" xfId="2" applyNumberFormat="1" applyFont="1" applyFill="1" applyBorder="1" applyAlignment="1">
      <alignment horizontal="right"/>
    </xf>
    <xf numFmtId="9" fontId="0" fillId="0" borderId="0" xfId="0" applyNumberFormat="1"/>
    <xf numFmtId="0" fontId="0" fillId="11" borderId="44" xfId="0" applyFill="1" applyBorder="1" applyAlignment="1" applyProtection="1">
      <alignment horizontal="center"/>
    </xf>
    <xf numFmtId="0" fontId="0" fillId="0" borderId="0" xfId="0" applyAlignment="1" applyProtection="1">
      <alignment horizontal="left" vertical="top" wrapText="1"/>
    </xf>
    <xf numFmtId="0" fontId="32" fillId="5" borderId="12" xfId="0" applyFont="1" applyFill="1" applyBorder="1" applyAlignment="1">
      <alignment horizontal="center" vertical="center"/>
    </xf>
    <xf numFmtId="0" fontId="54" fillId="5" borderId="15" xfId="0" applyFont="1" applyFill="1" applyBorder="1" applyAlignment="1">
      <alignment vertical="center"/>
    </xf>
    <xf numFmtId="0" fontId="54" fillId="5" borderId="17" xfId="0" applyFont="1" applyFill="1" applyBorder="1" applyAlignment="1">
      <alignment vertical="center"/>
    </xf>
    <xf numFmtId="0" fontId="54" fillId="5" borderId="17" xfId="0" applyFont="1" applyFill="1" applyBorder="1" applyAlignment="1">
      <alignment vertical="center" wrapText="1"/>
    </xf>
    <xf numFmtId="0" fontId="54" fillId="5" borderId="17" xfId="2" applyNumberFormat="1" applyFont="1" applyFill="1" applyBorder="1" applyAlignment="1">
      <alignment vertical="center"/>
    </xf>
    <xf numFmtId="0" fontId="54" fillId="5" borderId="12" xfId="2" applyNumberFormat="1" applyFont="1" applyFill="1" applyBorder="1" applyAlignment="1">
      <alignment vertical="center"/>
    </xf>
    <xf numFmtId="0" fontId="35" fillId="0" borderId="0" xfId="0" applyFont="1" applyAlignment="1">
      <alignment horizontal="justify" vertical="top" wrapText="1"/>
    </xf>
    <xf numFmtId="0" fontId="27" fillId="4" borderId="0" xfId="0" applyFont="1" applyFill="1" applyAlignment="1">
      <alignment horizontal="left"/>
    </xf>
    <xf numFmtId="0" fontId="62" fillId="4" borderId="0" xfId="0" applyFont="1" applyFill="1" applyAlignment="1">
      <alignment horizontal="left" vertical="center"/>
    </xf>
    <xf numFmtId="0" fontId="40" fillId="0" borderId="0" xfId="0" applyFont="1"/>
    <xf numFmtId="0" fontId="40" fillId="0" borderId="0" xfId="0" applyFont="1" applyAlignment="1">
      <alignment horizontal="right"/>
    </xf>
    <xf numFmtId="14" fontId="40" fillId="0" borderId="14" xfId="0" applyNumberFormat="1" applyFont="1" applyBorder="1" applyAlignment="1">
      <alignment horizontal="left"/>
    </xf>
    <xf numFmtId="0" fontId="31" fillId="0" borderId="0" xfId="0" applyFont="1"/>
    <xf numFmtId="0" fontId="40" fillId="0" borderId="14" xfId="0" applyFont="1" applyBorder="1" applyAlignment="1">
      <alignment horizontal="left"/>
    </xf>
    <xf numFmtId="0" fontId="40" fillId="0" borderId="0" xfId="0" applyFont="1" applyAlignment="1">
      <alignment vertical="center" wrapText="1"/>
    </xf>
    <xf numFmtId="0" fontId="40" fillId="0" borderId="0" xfId="0" applyFont="1" applyAlignment="1"/>
    <xf numFmtId="0" fontId="40" fillId="0" borderId="0" xfId="0" applyFont="1" applyAlignment="1">
      <alignment vertical="top" wrapText="1"/>
    </xf>
    <xf numFmtId="0" fontId="31" fillId="0" borderId="0" xfId="0" applyFont="1" applyAlignment="1">
      <alignment vertical="top" wrapText="1"/>
    </xf>
    <xf numFmtId="0" fontId="40" fillId="0" borderId="0" xfId="0" applyFont="1" applyAlignment="1">
      <alignment horizontal="justify" vertical="top" wrapText="1"/>
    </xf>
    <xf numFmtId="0" fontId="40" fillId="0" borderId="0" xfId="0" applyFont="1" applyAlignment="1">
      <alignment vertical="center"/>
    </xf>
    <xf numFmtId="3" fontId="0" fillId="7" borderId="9" xfId="0" applyNumberFormat="1" applyFill="1" applyBorder="1" applyProtection="1"/>
    <xf numFmtId="168" fontId="51" fillId="5" borderId="44" xfId="2" applyNumberFormat="1" applyFont="1" applyFill="1" applyBorder="1"/>
    <xf numFmtId="0" fontId="0" fillId="11" borderId="44" xfId="0" applyFill="1" applyBorder="1" applyAlignment="1">
      <alignment horizontal="center"/>
    </xf>
    <xf numFmtId="0" fontId="59" fillId="4" borderId="0" xfId="0" applyFont="1" applyFill="1" applyBorder="1" applyAlignment="1">
      <alignment horizontal="center" vertical="center" wrapText="1"/>
    </xf>
    <xf numFmtId="0" fontId="51" fillId="0" borderId="0" xfId="0" applyFont="1" applyBorder="1" applyAlignment="1">
      <alignment horizontal="left"/>
    </xf>
    <xf numFmtId="0" fontId="51" fillId="0" borderId="6" xfId="0" applyFont="1" applyBorder="1" applyAlignment="1">
      <alignment vertical="center"/>
    </xf>
    <xf numFmtId="0" fontId="51" fillId="0" borderId="0" xfId="0" applyFont="1" applyBorder="1" applyAlignment="1">
      <alignment vertical="center"/>
    </xf>
    <xf numFmtId="0" fontId="54" fillId="0" borderId="0" xfId="0" applyFont="1" applyBorder="1" applyAlignment="1">
      <alignment vertical="center"/>
    </xf>
    <xf numFmtId="0" fontId="51" fillId="0" borderId="7" xfId="0" applyFont="1" applyBorder="1" applyAlignment="1">
      <alignment vertical="center"/>
    </xf>
    <xf numFmtId="0" fontId="68" fillId="4" borderId="0" xfId="0" applyNumberFormat="1" applyFont="1" applyFill="1" applyBorder="1" applyAlignment="1">
      <alignment horizontal="left" vertical="center" wrapText="1"/>
    </xf>
    <xf numFmtId="0" fontId="69" fillId="0" borderId="0" xfId="0" applyFont="1"/>
    <xf numFmtId="0" fontId="70" fillId="0" borderId="0" xfId="0" applyFont="1"/>
    <xf numFmtId="0" fontId="71" fillId="0" borderId="0" xfId="0" applyFont="1"/>
    <xf numFmtId="0" fontId="73" fillId="0" borderId="0" xfId="0" applyFont="1"/>
    <xf numFmtId="0" fontId="74" fillId="0" borderId="0" xfId="0" applyFont="1" applyBorder="1" applyAlignment="1">
      <alignment horizontal="center" vertical="center" wrapText="1"/>
    </xf>
    <xf numFmtId="0" fontId="73" fillId="0" borderId="1" xfId="0" applyFont="1" applyBorder="1"/>
    <xf numFmtId="0" fontId="76" fillId="5" borderId="38" xfId="0" applyFont="1" applyFill="1" applyBorder="1" applyAlignment="1">
      <alignment horizontal="left"/>
    </xf>
    <xf numFmtId="0" fontId="77" fillId="0" borderId="1" xfId="0" applyFont="1" applyBorder="1" applyAlignment="1">
      <alignment horizontal="center" vertical="center"/>
    </xf>
    <xf numFmtId="0" fontId="77" fillId="0" borderId="0" xfId="0" applyFont="1" applyBorder="1" applyAlignment="1">
      <alignment horizontal="center" vertical="center"/>
    </xf>
    <xf numFmtId="0" fontId="70" fillId="0" borderId="0" xfId="0" applyFont="1" applyBorder="1" applyAlignment="1">
      <alignment horizontal="center" vertical="center"/>
    </xf>
    <xf numFmtId="0" fontId="76" fillId="5" borderId="40" xfId="0" applyFont="1" applyFill="1" applyBorder="1" applyAlignment="1">
      <alignment horizontal="left"/>
    </xf>
    <xf numFmtId="0" fontId="76" fillId="5" borderId="42" xfId="0" applyFont="1" applyFill="1" applyBorder="1" applyAlignment="1">
      <alignment horizontal="left"/>
    </xf>
    <xf numFmtId="0" fontId="78" fillId="2" borderId="43" xfId="0" applyFont="1" applyFill="1" applyBorder="1" applyAlignment="1" applyProtection="1">
      <alignment horizontal="right"/>
      <protection locked="0"/>
    </xf>
    <xf numFmtId="0" fontId="76" fillId="12" borderId="42" xfId="0" applyFont="1" applyFill="1" applyBorder="1" applyAlignment="1">
      <alignment horizontal="left"/>
    </xf>
    <xf numFmtId="0" fontId="70" fillId="2" borderId="0" xfId="0" applyFont="1" applyFill="1" applyBorder="1"/>
    <xf numFmtId="0" fontId="79" fillId="5" borderId="38" xfId="0" applyFont="1" applyFill="1" applyBorder="1" applyAlignment="1">
      <alignment horizontal="left"/>
    </xf>
    <xf numFmtId="0" fontId="70" fillId="0" borderId="0" xfId="0" applyFont="1" applyBorder="1"/>
    <xf numFmtId="0" fontId="73" fillId="0" borderId="0" xfId="0" applyFont="1" applyBorder="1"/>
    <xf numFmtId="0" fontId="70" fillId="4" borderId="0" xfId="0" applyFont="1" applyFill="1"/>
    <xf numFmtId="0" fontId="73" fillId="4" borderId="0" xfId="0" applyFont="1" applyFill="1" applyBorder="1"/>
    <xf numFmtId="0" fontId="73" fillId="4" borderId="0" xfId="0" applyFont="1" applyFill="1"/>
    <xf numFmtId="0" fontId="80" fillId="4" borderId="0" xfId="0" applyFont="1" applyFill="1" applyBorder="1" applyAlignment="1">
      <alignment horizontal="center" vertical="center"/>
    </xf>
    <xf numFmtId="0" fontId="70" fillId="0" borderId="0" xfId="0" applyFont="1" applyAlignment="1">
      <alignment wrapText="1"/>
    </xf>
    <xf numFmtId="0" fontId="73" fillId="0" borderId="0" xfId="0" applyFont="1" applyAlignment="1">
      <alignment wrapText="1"/>
    </xf>
    <xf numFmtId="0" fontId="70" fillId="0" borderId="0" xfId="0" applyFont="1" applyFill="1"/>
    <xf numFmtId="0" fontId="74" fillId="0" borderId="0" xfId="0" applyFont="1" applyFill="1"/>
    <xf numFmtId="0" fontId="0" fillId="2" borderId="41" xfId="0" applyFont="1" applyFill="1" applyBorder="1" applyAlignment="1" applyProtection="1">
      <alignment horizontal="right"/>
      <protection locked="0"/>
    </xf>
    <xf numFmtId="9" fontId="0" fillId="13" borderId="43" xfId="0" applyNumberFormat="1" applyFont="1" applyFill="1" applyBorder="1" applyAlignment="1" applyProtection="1">
      <alignment horizontal="right"/>
      <protection locked="0"/>
    </xf>
    <xf numFmtId="0" fontId="17" fillId="5" borderId="42" xfId="0" applyFont="1" applyFill="1" applyBorder="1" applyAlignment="1">
      <alignment horizontal="left"/>
    </xf>
    <xf numFmtId="0" fontId="83" fillId="4" borderId="44" xfId="0" applyFont="1" applyFill="1" applyBorder="1" applyAlignment="1">
      <alignment horizontal="center" vertical="center" wrapText="1"/>
    </xf>
    <xf numFmtId="0" fontId="82" fillId="11" borderId="41" xfId="0" applyFont="1" applyFill="1" applyBorder="1" applyAlignment="1">
      <alignment horizontal="center" vertical="center" wrapText="1"/>
    </xf>
    <xf numFmtId="0" fontId="82" fillId="11" borderId="46" xfId="0" applyFont="1" applyFill="1" applyBorder="1" applyAlignment="1">
      <alignment horizontal="center" vertical="center" wrapText="1"/>
    </xf>
    <xf numFmtId="0" fontId="82" fillId="11" borderId="40" xfId="0" applyFont="1" applyFill="1" applyBorder="1" applyAlignment="1">
      <alignment horizontal="center" vertical="center" wrapText="1"/>
    </xf>
    <xf numFmtId="0" fontId="82" fillId="11" borderId="44" xfId="0" applyFont="1" applyFill="1" applyBorder="1" applyAlignment="1">
      <alignment horizontal="center" vertical="center" wrapText="1"/>
    </xf>
    <xf numFmtId="0" fontId="81" fillId="0" borderId="44" xfId="0" applyFont="1" applyBorder="1" applyAlignment="1">
      <alignment horizontal="center" vertical="center" wrapText="1"/>
    </xf>
    <xf numFmtId="0" fontId="81" fillId="0" borderId="45" xfId="0" applyFont="1" applyBorder="1" applyAlignment="1">
      <alignment horizontal="center" vertical="center" wrapText="1"/>
    </xf>
    <xf numFmtId="0" fontId="81" fillId="0" borderId="47" xfId="0" applyFont="1" applyBorder="1" applyAlignment="1">
      <alignment horizontal="center" vertical="center" wrapText="1"/>
    </xf>
    <xf numFmtId="0" fontId="83" fillId="4" borderId="41" xfId="0" applyFont="1" applyFill="1" applyBorder="1" applyAlignment="1">
      <alignment horizontal="center" vertical="center" wrapText="1"/>
    </xf>
    <xf numFmtId="0" fontId="83" fillId="4" borderId="46" xfId="0" applyFont="1" applyFill="1" applyBorder="1" applyAlignment="1">
      <alignment horizontal="center" vertical="center" wrapText="1"/>
    </xf>
    <xf numFmtId="0" fontId="83" fillId="4" borderId="40" xfId="0" applyFont="1" applyFill="1" applyBorder="1" applyAlignment="1">
      <alignment horizontal="center" vertical="center" wrapText="1"/>
    </xf>
    <xf numFmtId="0" fontId="72" fillId="0" borderId="0" xfId="0" applyFont="1" applyBorder="1" applyAlignment="1">
      <alignment horizontal="center" vertical="center" wrapText="1"/>
    </xf>
    <xf numFmtId="0" fontId="75" fillId="11" borderId="0" xfId="0" applyFont="1" applyFill="1" applyBorder="1" applyAlignment="1">
      <alignment horizontal="center" vertical="center"/>
    </xf>
    <xf numFmtId="0" fontId="44" fillId="11" borderId="0" xfId="0" applyFont="1" applyFill="1" applyBorder="1" applyAlignment="1">
      <alignment horizontal="center" vertical="center"/>
    </xf>
    <xf numFmtId="0" fontId="80" fillId="11" borderId="0" xfId="0" applyFont="1" applyFill="1" applyBorder="1" applyAlignment="1">
      <alignment horizontal="center" vertical="center"/>
    </xf>
    <xf numFmtId="0" fontId="73" fillId="0" borderId="0" xfId="0" applyFont="1" applyAlignment="1">
      <alignment horizontal="center" vertical="center" wrapText="1"/>
    </xf>
    <xf numFmtId="0" fontId="73" fillId="0" borderId="0" xfId="0" applyFont="1" applyAlignment="1">
      <alignment horizontal="center" vertical="center"/>
    </xf>
    <xf numFmtId="0" fontId="22" fillId="0" borderId="0" xfId="0" applyFont="1" applyAlignment="1" applyProtection="1">
      <alignment horizontal="center" vertical="center" wrapText="1"/>
    </xf>
    <xf numFmtId="0" fontId="12" fillId="0" borderId="0"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15" fillId="0" borderId="0" xfId="0" quotePrefix="1" applyFont="1" applyAlignment="1" applyProtection="1">
      <alignment horizontal="center"/>
    </xf>
    <xf numFmtId="0" fontId="15" fillId="0" borderId="0" xfId="0" applyFont="1" applyAlignment="1" applyProtection="1">
      <alignment horizontal="center"/>
    </xf>
    <xf numFmtId="0" fontId="22" fillId="0" borderId="0" xfId="0" quotePrefix="1" applyFont="1" applyAlignment="1" applyProtection="1">
      <alignment horizontal="center" vertical="center"/>
    </xf>
    <xf numFmtId="0" fontId="15" fillId="0" borderId="0" xfId="0" applyFont="1" applyAlignment="1" applyProtection="1">
      <alignment horizontal="center" vertical="center"/>
    </xf>
    <xf numFmtId="0" fontId="0" fillId="11" borderId="44" xfId="0" applyFill="1" applyBorder="1" applyAlignment="1" applyProtection="1">
      <alignment horizontal="center"/>
    </xf>
    <xf numFmtId="0" fontId="0" fillId="11" borderId="44" xfId="0" applyFill="1" applyBorder="1" applyProtection="1"/>
    <xf numFmtId="0" fontId="44" fillId="11" borderId="0" xfId="0" applyFont="1" applyFill="1" applyBorder="1" applyAlignment="1" applyProtection="1">
      <alignment horizontal="center" vertical="center"/>
    </xf>
    <xf numFmtId="0" fontId="15" fillId="0" borderId="0" xfId="0" quotePrefix="1" applyFont="1" applyAlignment="1" applyProtection="1">
      <alignment horizontal="center" vertical="center"/>
    </xf>
    <xf numFmtId="0" fontId="0" fillId="11" borderId="41" xfId="0" applyFill="1" applyBorder="1" applyAlignment="1" applyProtection="1">
      <alignment horizontal="center"/>
    </xf>
    <xf numFmtId="0" fontId="0" fillId="11" borderId="46" xfId="0" applyFill="1" applyBorder="1" applyAlignment="1" applyProtection="1">
      <alignment horizontal="center"/>
    </xf>
    <xf numFmtId="0" fontId="0" fillId="11" borderId="40" xfId="0" applyFill="1" applyBorder="1" applyAlignment="1" applyProtection="1">
      <alignment horizontal="center"/>
    </xf>
    <xf numFmtId="0" fontId="15" fillId="0" borderId="0" xfId="0" quotePrefix="1" applyFont="1" applyAlignment="1" applyProtection="1">
      <alignment horizontal="center" vertical="center" wrapText="1"/>
    </xf>
    <xf numFmtId="0" fontId="56" fillId="0" borderId="0" xfId="0" applyFont="1" applyBorder="1" applyAlignment="1" applyProtection="1">
      <alignment horizontal="center" vertical="center" wrapText="1"/>
    </xf>
    <xf numFmtId="0" fontId="0" fillId="0" borderId="9"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1" fillId="0" borderId="3" xfId="0" applyFont="1" applyBorder="1" applyAlignment="1">
      <alignment horizontal="center"/>
    </xf>
    <xf numFmtId="0" fontId="44" fillId="11" borderId="0" xfId="0" applyFont="1" applyFill="1" applyBorder="1" applyAlignment="1">
      <alignment horizontal="center" vertical="center" wrapText="1"/>
    </xf>
    <xf numFmtId="0" fontId="0" fillId="11" borderId="44" xfId="0" applyFill="1" applyBorder="1" applyAlignment="1">
      <alignment horizontal="center"/>
    </xf>
    <xf numFmtId="0" fontId="0" fillId="11" borderId="44" xfId="0" applyFill="1" applyBorder="1"/>
    <xf numFmtId="0" fontId="51" fillId="0" borderId="0" xfId="0" applyFont="1" applyAlignment="1">
      <alignment horizontal="center" wrapText="1"/>
    </xf>
    <xf numFmtId="0" fontId="51" fillId="0" borderId="0" xfId="0" applyFont="1" applyAlignment="1">
      <alignment horizontal="center"/>
    </xf>
    <xf numFmtId="0" fontId="54" fillId="0" borderId="0" xfId="0" applyFont="1" applyAlignment="1">
      <alignment horizontal="center"/>
    </xf>
    <xf numFmtId="0" fontId="57" fillId="0" borderId="0" xfId="0" applyFont="1" applyAlignment="1">
      <alignment horizontal="center" wrapText="1"/>
    </xf>
    <xf numFmtId="0" fontId="1" fillId="0" borderId="0" xfId="0" applyFont="1" applyAlignment="1">
      <alignment horizontal="center"/>
    </xf>
    <xf numFmtId="0" fontId="55" fillId="0" borderId="0" xfId="0" applyFont="1" applyAlignment="1">
      <alignment horizontal="center" vertical="center" wrapText="1"/>
    </xf>
    <xf numFmtId="0" fontId="51" fillId="0" borderId="0" xfId="0" applyFont="1" applyAlignment="1">
      <alignment horizontal="center" vertical="center" wrapText="1"/>
    </xf>
    <xf numFmtId="0" fontId="22" fillId="0" borderId="0" xfId="0" applyFont="1" applyAlignment="1">
      <alignment horizontal="center" vertical="center"/>
    </xf>
    <xf numFmtId="0" fontId="15" fillId="0" borderId="0" xfId="0" applyFont="1" applyAlignment="1">
      <alignment horizontal="center"/>
    </xf>
    <xf numFmtId="0" fontId="66" fillId="0" borderId="0" xfId="0" applyFont="1" applyAlignment="1">
      <alignment horizontal="left"/>
    </xf>
    <xf numFmtId="0" fontId="11" fillId="4" borderId="0"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23" fillId="0" borderId="3" xfId="0" applyFont="1" applyFill="1" applyBorder="1" applyAlignment="1">
      <alignment horizontal="center"/>
    </xf>
    <xf numFmtId="0" fontId="15" fillId="0" borderId="15"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4" borderId="0" xfId="0" applyFont="1" applyFill="1" applyAlignment="1">
      <alignment horizontal="center" wrapText="1"/>
    </xf>
    <xf numFmtId="0" fontId="15" fillId="4" borderId="0" xfId="0" applyFont="1" applyFill="1" applyAlignment="1">
      <alignment horizontal="center"/>
    </xf>
    <xf numFmtId="0" fontId="0" fillId="4" borderId="1" xfId="0" applyFill="1" applyBorder="1" applyAlignment="1">
      <alignment horizontal="left" vertical="center" wrapText="1"/>
    </xf>
    <xf numFmtId="0" fontId="19" fillId="0" borderId="15"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 xfId="0" applyFont="1" applyBorder="1" applyAlignment="1">
      <alignment horizontal="center" vertical="center" wrapText="1"/>
    </xf>
    <xf numFmtId="0" fontId="51" fillId="0" borderId="15"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12" xfId="0" applyFont="1" applyBorder="1" applyAlignment="1">
      <alignment horizontal="center" vertical="center" wrapText="1"/>
    </xf>
    <xf numFmtId="0" fontId="54" fillId="5" borderId="9" xfId="0" applyFont="1" applyFill="1" applyBorder="1" applyAlignment="1">
      <alignment horizontal="right"/>
    </xf>
    <xf numFmtId="0" fontId="54" fillId="5" borderId="11" xfId="0" applyFont="1" applyFill="1" applyBorder="1" applyAlignment="1">
      <alignment horizontal="right"/>
    </xf>
    <xf numFmtId="0" fontId="54" fillId="5" borderId="13" xfId="0" applyFont="1" applyFill="1" applyBorder="1" applyAlignment="1">
      <alignment horizontal="right"/>
    </xf>
    <xf numFmtId="0" fontId="51" fillId="0" borderId="6" xfId="0" applyFont="1" applyBorder="1" applyAlignment="1">
      <alignment horizontal="left" vertical="justify" wrapText="1"/>
    </xf>
    <xf numFmtId="0" fontId="51" fillId="0" borderId="0" xfId="0" applyFont="1" applyBorder="1" applyAlignment="1">
      <alignment horizontal="left" vertical="justify" wrapText="1"/>
    </xf>
    <xf numFmtId="0" fontId="51" fillId="0" borderId="7" xfId="0" applyFont="1" applyBorder="1" applyAlignment="1">
      <alignment horizontal="left" vertical="justify" wrapText="1"/>
    </xf>
    <xf numFmtId="0" fontId="51" fillId="5" borderId="15" xfId="0" applyFont="1" applyFill="1" applyBorder="1" applyAlignment="1">
      <alignment horizontal="center"/>
    </xf>
    <xf numFmtId="0" fontId="51" fillId="5" borderId="17" xfId="0" applyFont="1" applyFill="1" applyBorder="1" applyAlignment="1">
      <alignment horizontal="center"/>
    </xf>
    <xf numFmtId="0" fontId="51" fillId="5" borderId="12" xfId="0" applyFont="1" applyFill="1" applyBorder="1" applyAlignment="1">
      <alignment horizontal="center"/>
    </xf>
    <xf numFmtId="0" fontId="54" fillId="5" borderId="15" xfId="0" applyFont="1" applyFill="1" applyBorder="1" applyAlignment="1">
      <alignment horizontal="center" vertical="center"/>
    </xf>
    <xf numFmtId="0" fontId="54" fillId="5" borderId="17" xfId="0" applyFont="1" applyFill="1" applyBorder="1" applyAlignment="1">
      <alignment horizontal="center" vertical="center"/>
    </xf>
    <xf numFmtId="0" fontId="54" fillId="5" borderId="12" xfId="0" applyFont="1" applyFill="1" applyBorder="1" applyAlignment="1">
      <alignment horizontal="center" vertical="center"/>
    </xf>
    <xf numFmtId="0" fontId="46" fillId="3" borderId="4" xfId="0" applyFont="1" applyFill="1" applyBorder="1" applyAlignment="1">
      <alignment horizontal="center"/>
    </xf>
    <xf numFmtId="0" fontId="46" fillId="3" borderId="3" xfId="0" applyFont="1" applyFill="1" applyBorder="1" applyAlignment="1">
      <alignment horizontal="center"/>
    </xf>
    <xf numFmtId="0" fontId="46" fillId="3" borderId="5" xfId="0" applyFont="1" applyFill="1" applyBorder="1" applyAlignment="1">
      <alignment horizontal="center"/>
    </xf>
    <xf numFmtId="0" fontId="51" fillId="0" borderId="6" xfId="0" applyFont="1" applyBorder="1" applyAlignment="1">
      <alignment horizontal="left" vertical="justify"/>
    </xf>
    <xf numFmtId="0" fontId="51" fillId="0" borderId="0" xfId="0" applyFont="1" applyBorder="1" applyAlignment="1">
      <alignment horizontal="left" vertical="justify"/>
    </xf>
    <xf numFmtId="0" fontId="51" fillId="0" borderId="7" xfId="0" applyFont="1" applyBorder="1" applyAlignment="1">
      <alignment horizontal="left" vertical="justify"/>
    </xf>
    <xf numFmtId="0" fontId="51" fillId="0" borderId="6" xfId="0" quotePrefix="1" applyFont="1" applyBorder="1" applyAlignment="1">
      <alignment horizontal="left" vertical="justify"/>
    </xf>
    <xf numFmtId="0" fontId="59" fillId="4" borderId="10" xfId="0" applyFont="1" applyFill="1" applyBorder="1" applyAlignment="1">
      <alignment horizontal="center" vertical="center" wrapText="1"/>
    </xf>
    <xf numFmtId="0" fontId="59" fillId="4" borderId="14" xfId="0" applyFont="1" applyFill="1" applyBorder="1" applyAlignment="1">
      <alignment horizontal="center" vertical="center" wrapText="1"/>
    </xf>
    <xf numFmtId="0" fontId="59" fillId="4" borderId="18" xfId="0" applyFont="1" applyFill="1" applyBorder="1" applyAlignment="1">
      <alignment horizontal="center" vertical="center" wrapText="1"/>
    </xf>
    <xf numFmtId="0" fontId="59" fillId="4" borderId="6" xfId="0" applyFont="1" applyFill="1" applyBorder="1" applyAlignment="1">
      <alignment horizontal="center" vertical="center" wrapText="1"/>
    </xf>
    <xf numFmtId="0" fontId="59" fillId="4" borderId="0" xfId="0" applyFont="1" applyFill="1" applyBorder="1" applyAlignment="1">
      <alignment horizontal="center" vertical="center" wrapText="1"/>
    </xf>
    <xf numFmtId="0" fontId="59" fillId="4" borderId="7" xfId="0" applyFont="1" applyFill="1" applyBorder="1" applyAlignment="1">
      <alignment horizontal="center" vertical="center" wrapText="1"/>
    </xf>
    <xf numFmtId="0" fontId="54" fillId="5" borderId="19" xfId="0" applyFont="1" applyFill="1" applyBorder="1" applyAlignment="1">
      <alignment horizontal="center" vertical="center" wrapText="1"/>
    </xf>
    <xf numFmtId="0" fontId="54" fillId="5" borderId="20" xfId="0" applyFont="1" applyFill="1" applyBorder="1" applyAlignment="1">
      <alignment horizontal="center" vertical="center" wrapText="1"/>
    </xf>
    <xf numFmtId="0" fontId="54" fillId="4" borderId="21" xfId="0" applyFont="1" applyFill="1" applyBorder="1" applyAlignment="1">
      <alignment horizontal="center" vertical="center" wrapText="1"/>
    </xf>
    <xf numFmtId="0" fontId="54" fillId="4" borderId="22" xfId="0" applyFont="1" applyFill="1" applyBorder="1" applyAlignment="1">
      <alignment horizontal="center" vertical="center" wrapText="1"/>
    </xf>
    <xf numFmtId="0" fontId="54" fillId="5" borderId="23" xfId="0" applyFont="1" applyFill="1" applyBorder="1" applyAlignment="1">
      <alignment horizontal="center" vertical="center" wrapText="1"/>
    </xf>
    <xf numFmtId="0" fontId="54" fillId="5" borderId="24" xfId="0" applyFont="1" applyFill="1" applyBorder="1" applyAlignment="1">
      <alignment horizontal="center" vertical="center" wrapText="1"/>
    </xf>
    <xf numFmtId="0" fontId="54" fillId="5" borderId="25" xfId="0" applyFont="1" applyFill="1" applyBorder="1" applyAlignment="1">
      <alignment horizontal="center" vertical="center" wrapText="1"/>
    </xf>
    <xf numFmtId="0" fontId="54" fillId="5" borderId="26" xfId="0" applyFont="1" applyFill="1" applyBorder="1" applyAlignment="1">
      <alignment horizontal="center" vertical="center" wrapText="1"/>
    </xf>
    <xf numFmtId="0" fontId="54" fillId="4" borderId="27" xfId="0" applyNumberFormat="1" applyFont="1" applyFill="1" applyBorder="1" applyAlignment="1">
      <alignment horizontal="center" vertical="center" wrapText="1"/>
    </xf>
    <xf numFmtId="0" fontId="54" fillId="4" borderId="28" xfId="0" applyNumberFormat="1" applyFont="1" applyFill="1" applyBorder="1" applyAlignment="1">
      <alignment horizontal="center" vertical="center" wrapText="1"/>
    </xf>
    <xf numFmtId="0" fontId="54" fillId="4" borderId="29" xfId="0" applyNumberFormat="1" applyFont="1" applyFill="1" applyBorder="1" applyAlignment="1">
      <alignment horizontal="center" vertical="center" wrapText="1"/>
    </xf>
    <xf numFmtId="0" fontId="54" fillId="4" borderId="30" xfId="0" applyNumberFormat="1" applyFont="1" applyFill="1" applyBorder="1" applyAlignment="1">
      <alignment horizontal="center" vertical="center" wrapText="1"/>
    </xf>
    <xf numFmtId="0" fontId="54" fillId="4" borderId="31" xfId="0" applyNumberFormat="1" applyFont="1" applyFill="1" applyBorder="1" applyAlignment="1">
      <alignment horizontal="center" vertical="center" wrapText="1"/>
    </xf>
    <xf numFmtId="0" fontId="54" fillId="4" borderId="32" xfId="0" applyNumberFormat="1" applyFont="1" applyFill="1" applyBorder="1" applyAlignment="1">
      <alignment horizontal="center" vertical="center" wrapText="1"/>
    </xf>
    <xf numFmtId="0" fontId="0" fillId="0" borderId="0" xfId="0" applyAlignment="1" applyProtection="1">
      <alignment horizontal="left" vertical="top" wrapText="1"/>
    </xf>
    <xf numFmtId="0" fontId="0" fillId="4" borderId="8" xfId="0" applyFill="1" applyBorder="1" applyAlignment="1">
      <alignment horizontal="left" vertical="center" wrapText="1"/>
    </xf>
    <xf numFmtId="0" fontId="0" fillId="4" borderId="16" xfId="0" applyFill="1" applyBorder="1" applyAlignment="1">
      <alignment horizontal="left" vertical="center" wrapText="1"/>
    </xf>
    <xf numFmtId="0" fontId="54" fillId="4" borderId="27" xfId="0" applyFont="1" applyFill="1" applyBorder="1" applyAlignment="1">
      <alignment horizontal="center" vertical="center" wrapText="1"/>
    </xf>
    <xf numFmtId="0" fontId="54" fillId="4" borderId="28" xfId="0" applyFont="1" applyFill="1" applyBorder="1" applyAlignment="1">
      <alignment horizontal="center" vertical="center" wrapText="1"/>
    </xf>
    <xf numFmtId="0" fontId="54" fillId="4" borderId="29" xfId="0" applyFont="1" applyFill="1" applyBorder="1" applyAlignment="1">
      <alignment horizontal="center" vertical="center" wrapText="1"/>
    </xf>
    <xf numFmtId="0" fontId="51" fillId="0" borderId="6" xfId="0" applyFont="1" applyBorder="1" applyAlignment="1">
      <alignment horizontal="left" vertical="center"/>
    </xf>
    <xf numFmtId="0" fontId="51" fillId="0" borderId="0" xfId="0" applyFont="1" applyBorder="1" applyAlignment="1">
      <alignment horizontal="left" vertical="center"/>
    </xf>
    <xf numFmtId="0" fontId="51" fillId="0" borderId="7" xfId="0" applyFont="1" applyBorder="1" applyAlignment="1">
      <alignment horizontal="left" vertical="center"/>
    </xf>
    <xf numFmtId="0" fontId="51" fillId="0" borderId="1" xfId="0" applyFont="1" applyBorder="1" applyAlignment="1">
      <alignment horizontal="center" vertical="center" wrapText="1"/>
    </xf>
    <xf numFmtId="0" fontId="54" fillId="5" borderId="33" xfId="0" applyFont="1" applyFill="1" applyBorder="1" applyAlignment="1">
      <alignment horizontal="center" vertical="center" wrapText="1"/>
    </xf>
    <xf numFmtId="0" fontId="54" fillId="5" borderId="34" xfId="0" applyFont="1" applyFill="1" applyBorder="1" applyAlignment="1">
      <alignment horizontal="center" vertical="center" wrapText="1"/>
    </xf>
    <xf numFmtId="0" fontId="54" fillId="4" borderId="35" xfId="0" applyFont="1" applyFill="1" applyBorder="1" applyAlignment="1">
      <alignment horizontal="center" vertical="center" wrapText="1"/>
    </xf>
    <xf numFmtId="0" fontId="54" fillId="4" borderId="36" xfId="0" applyFont="1" applyFill="1" applyBorder="1" applyAlignment="1">
      <alignment horizontal="center" vertical="center" wrapText="1"/>
    </xf>
    <xf numFmtId="0" fontId="54" fillId="4" borderId="37" xfId="0" applyFont="1" applyFill="1" applyBorder="1" applyAlignment="1">
      <alignment horizontal="center" vertical="center" wrapText="1"/>
    </xf>
    <xf numFmtId="0" fontId="67" fillId="4" borderId="48" xfId="0" applyFont="1" applyFill="1" applyBorder="1" applyAlignment="1">
      <alignment horizontal="left" vertical="center" wrapText="1"/>
    </xf>
    <xf numFmtId="0" fontId="67" fillId="4" borderId="49" xfId="0" applyFont="1" applyFill="1" applyBorder="1" applyAlignment="1">
      <alignment horizontal="left" vertical="center" wrapText="1"/>
    </xf>
    <xf numFmtId="0" fontId="67" fillId="4" borderId="50" xfId="0" applyFont="1" applyFill="1" applyBorder="1" applyAlignment="1">
      <alignment horizontal="left" vertical="center" wrapText="1"/>
    </xf>
    <xf numFmtId="0" fontId="63" fillId="0" borderId="0" xfId="0" applyFont="1" applyAlignment="1">
      <alignment horizontal="left" vertical="center" wrapText="1"/>
    </xf>
    <xf numFmtId="0" fontId="41" fillId="0" borderId="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xf>
    <xf numFmtId="0" fontId="47" fillId="10" borderId="9" xfId="0" applyFont="1" applyFill="1" applyBorder="1" applyAlignment="1">
      <alignment horizontal="center" vertical="center"/>
    </xf>
    <xf numFmtId="0" fontId="47" fillId="10" borderId="11" xfId="0" applyFont="1" applyFill="1" applyBorder="1" applyAlignment="1">
      <alignment horizontal="center" vertical="center"/>
    </xf>
    <xf numFmtId="0" fontId="47" fillId="10" borderId="13" xfId="0" applyFont="1" applyFill="1" applyBorder="1" applyAlignment="1">
      <alignment horizontal="center" vertical="center"/>
    </xf>
    <xf numFmtId="0" fontId="47" fillId="9" borderId="9" xfId="0" applyFont="1" applyFill="1" applyBorder="1" applyAlignment="1">
      <alignment horizontal="center" vertical="center"/>
    </xf>
    <xf numFmtId="0" fontId="47" fillId="9" borderId="11" xfId="0" applyFont="1" applyFill="1" applyBorder="1" applyAlignment="1">
      <alignment horizontal="center" vertical="center"/>
    </xf>
    <xf numFmtId="0" fontId="47" fillId="9" borderId="13" xfId="0" applyFont="1" applyFill="1" applyBorder="1" applyAlignment="1">
      <alignment horizontal="center" vertical="center"/>
    </xf>
    <xf numFmtId="0" fontId="29" fillId="4" borderId="0" xfId="0" applyFont="1" applyFill="1" applyAlignment="1">
      <alignment horizontal="center" vertical="center" wrapText="1"/>
    </xf>
    <xf numFmtId="0" fontId="25" fillId="0" borderId="0" xfId="0" applyFont="1" applyFill="1" applyAlignment="1">
      <alignment horizontal="center"/>
    </xf>
    <xf numFmtId="0" fontId="48" fillId="4" borderId="0" xfId="0" applyFont="1" applyFill="1" applyAlignment="1">
      <alignment horizontal="center" vertical="center" wrapText="1"/>
    </xf>
    <xf numFmtId="0" fontId="32" fillId="5" borderId="15" xfId="0" applyFont="1" applyFill="1" applyBorder="1" applyAlignment="1">
      <alignment horizontal="center" vertical="center"/>
    </xf>
    <xf numFmtId="0" fontId="32" fillId="5" borderId="17" xfId="0" applyFont="1" applyFill="1" applyBorder="1" applyAlignment="1">
      <alignment horizontal="center" vertical="center"/>
    </xf>
    <xf numFmtId="0" fontId="32" fillId="5" borderId="12" xfId="0" applyFont="1" applyFill="1" applyBorder="1" applyAlignment="1">
      <alignment horizontal="center" vertical="center"/>
    </xf>
    <xf numFmtId="0" fontId="34" fillId="0" borderId="15"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2" xfId="0" applyFont="1" applyBorder="1" applyAlignment="1">
      <alignment horizontal="center" vertical="center" wrapText="1"/>
    </xf>
    <xf numFmtId="0" fontId="43" fillId="4" borderId="0" xfId="0" applyFont="1" applyFill="1" applyAlignment="1">
      <alignment horizontal="center" wrapText="1"/>
    </xf>
    <xf numFmtId="0" fontId="43" fillId="4" borderId="0" xfId="0" applyFont="1" applyFill="1" applyAlignment="1">
      <alignment horizontal="center"/>
    </xf>
    <xf numFmtId="0" fontId="28" fillId="0" borderId="0" xfId="0" applyFont="1" applyAlignment="1" applyProtection="1">
      <alignment horizontal="left" vertical="top" wrapText="1"/>
    </xf>
    <xf numFmtId="0" fontId="40" fillId="0" borderId="0" xfId="0" applyFont="1" applyAlignment="1">
      <alignment horizontal="justify" vertical="center" wrapText="1"/>
    </xf>
    <xf numFmtId="0" fontId="40" fillId="0" borderId="0" xfId="0" applyFont="1" applyAlignment="1">
      <alignment horizontal="justify" vertical="top" wrapText="1"/>
    </xf>
    <xf numFmtId="165" fontId="41" fillId="5" borderId="9" xfId="2" applyNumberFormat="1" applyFont="1" applyFill="1" applyBorder="1" applyAlignment="1">
      <alignment horizontal="center" vertical="center"/>
    </xf>
    <xf numFmtId="165" fontId="41" fillId="5" borderId="13" xfId="2" applyNumberFormat="1" applyFont="1" applyFill="1" applyBorder="1" applyAlignment="1">
      <alignment horizontal="center" vertical="center"/>
    </xf>
    <xf numFmtId="0" fontId="32" fillId="5" borderId="9" xfId="0" applyFont="1" applyFill="1" applyBorder="1" applyAlignment="1">
      <alignment horizontal="center" vertical="center"/>
    </xf>
    <xf numFmtId="0" fontId="33" fillId="5" borderId="10" xfId="0" applyFont="1" applyFill="1" applyBorder="1" applyAlignment="1">
      <alignment horizontal="center"/>
    </xf>
    <xf numFmtId="0" fontId="33" fillId="5" borderId="14" xfId="0" applyFont="1" applyFill="1" applyBorder="1" applyAlignment="1">
      <alignment horizontal="center"/>
    </xf>
    <xf numFmtId="0" fontId="33" fillId="5" borderId="18" xfId="0" applyFont="1" applyFill="1" applyBorder="1" applyAlignment="1">
      <alignment horizontal="center"/>
    </xf>
    <xf numFmtId="0" fontId="32" fillId="5" borderId="10" xfId="0" applyFont="1" applyFill="1" applyBorder="1" applyAlignment="1">
      <alignment horizontal="center" vertical="center"/>
    </xf>
    <xf numFmtId="0" fontId="32" fillId="5" borderId="14" xfId="0" applyFont="1" applyFill="1" applyBorder="1" applyAlignment="1">
      <alignment horizontal="center" vertical="center"/>
    </xf>
    <xf numFmtId="0" fontId="32" fillId="5" borderId="18" xfId="0" applyFont="1" applyFill="1" applyBorder="1" applyAlignment="1">
      <alignment horizontal="center" vertical="center"/>
    </xf>
    <xf numFmtId="0" fontId="32" fillId="5" borderId="9" xfId="0" applyFont="1" applyFill="1" applyBorder="1" applyAlignment="1">
      <alignment horizontal="right"/>
    </xf>
    <xf numFmtId="0" fontId="32" fillId="5" borderId="11" xfId="0" applyFont="1" applyFill="1" applyBorder="1" applyAlignment="1">
      <alignment horizontal="right"/>
    </xf>
    <xf numFmtId="0" fontId="32" fillId="5" borderId="13" xfId="0" applyFont="1" applyFill="1" applyBorder="1" applyAlignment="1">
      <alignment horizontal="right"/>
    </xf>
    <xf numFmtId="0" fontId="10" fillId="5" borderId="15"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12" xfId="0" applyFont="1" applyFill="1" applyBorder="1" applyAlignment="1">
      <alignment horizontal="center" vertical="center" wrapText="1"/>
    </xf>
    <xf numFmtId="166" fontId="34" fillId="5" borderId="9" xfId="0" applyNumberFormat="1" applyFont="1" applyFill="1" applyBorder="1" applyAlignment="1">
      <alignment horizontal="center" wrapText="1"/>
    </xf>
    <xf numFmtId="166" fontId="34" fillId="5" borderId="13" xfId="0" applyNumberFormat="1" applyFont="1" applyFill="1" applyBorder="1" applyAlignment="1">
      <alignment horizontal="center" wrapText="1"/>
    </xf>
    <xf numFmtId="0" fontId="49" fillId="0" borderId="0" xfId="0" applyFont="1" applyBorder="1" applyAlignment="1">
      <alignment horizontal="center" vertical="center" wrapText="1"/>
    </xf>
    <xf numFmtId="166" fontId="34" fillId="5" borderId="11" xfId="0" applyNumberFormat="1" applyFont="1" applyFill="1" applyBorder="1" applyAlignment="1">
      <alignment horizontal="center" wrapText="1"/>
    </xf>
    <xf numFmtId="0" fontId="0" fillId="2" borderId="39" xfId="0" applyFill="1" applyBorder="1" applyAlignment="1" applyProtection="1">
      <alignment horizontal="right"/>
      <protection locked="0"/>
    </xf>
    <xf numFmtId="0" fontId="84" fillId="0" borderId="0" xfId="0" applyFont="1"/>
    <xf numFmtId="0" fontId="0" fillId="2" borderId="41" xfId="0" applyFill="1" applyBorder="1" applyAlignment="1" applyProtection="1">
      <alignment horizontal="right"/>
      <protection locked="0"/>
    </xf>
    <xf numFmtId="0" fontId="16" fillId="0" borderId="0" xfId="1" applyAlignment="1" applyProtection="1"/>
    <xf numFmtId="0" fontId="0" fillId="2" borderId="39" xfId="0" applyFill="1" applyBorder="1" applyProtection="1">
      <protection locked="0"/>
    </xf>
    <xf numFmtId="0" fontId="0" fillId="2" borderId="43" xfId="0" applyFill="1" applyBorder="1" applyProtection="1">
      <protection locked="0"/>
    </xf>
  </cellXfs>
  <cellStyles count="4">
    <cellStyle name="Lien hypertexte" xfId="1" builtinId="8"/>
    <cellStyle name="Milliers" xfId="2" builtinId="3"/>
    <cellStyle name="Monétaire" xfId="3" builtinId="4"/>
    <cellStyle name="Normal" xfId="0" builtinId="0"/>
  </cellStyles>
  <dxfs count="0"/>
  <tableStyles count="0" defaultTableStyle="TableStyleMedium9" defaultPivotStyle="PivotStyleLight16"/>
  <colors>
    <mruColors>
      <color rgb="FF4BB708"/>
      <color rgb="FF3E4140"/>
      <color rgb="FFC1E4FF"/>
      <color rgb="FF8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53664AA-07F6-A94A-8CFA-DAC3DC0C688D}" type="doc">
      <dgm:prSet loTypeId="urn:microsoft.com/office/officeart/2005/8/layout/cycle3" loCatId="" qsTypeId="urn:microsoft.com/office/officeart/2005/8/quickstyle/simple4" qsCatId="simple" csTypeId="urn:microsoft.com/office/officeart/2005/8/colors/accent3_2" csCatId="accent3" phldr="1"/>
      <dgm:spPr/>
      <dgm:t>
        <a:bodyPr/>
        <a:lstStyle/>
        <a:p>
          <a:endParaRPr lang="fr-FR"/>
        </a:p>
      </dgm:t>
    </dgm:pt>
    <dgm:pt modelId="{9291BE13-845D-D54F-8F27-D33395CF0D24}">
      <dgm:prSet phldrT="[Texte]" custT="1"/>
      <dgm:spPr>
        <a:solidFill>
          <a:srgbClr val="3E4140"/>
        </a:solidFill>
      </dgm:spPr>
      <dgm:t>
        <a:bodyPr/>
        <a:lstStyle/>
        <a:p>
          <a:r>
            <a:rPr lang="fr-FR" sz="900" b="1" dirty="0"/>
            <a:t>Demande de projet/chiffrage reçue du bénéficiaire</a:t>
          </a:r>
        </a:p>
      </dgm:t>
    </dgm:pt>
    <dgm:pt modelId="{3B263A06-1D0D-C44B-A59F-ACCEC39AEAE4}" type="parTrans" cxnId="{C097E932-E734-8C4C-94D4-DBAB2D74F11D}">
      <dgm:prSet/>
      <dgm:spPr/>
      <dgm:t>
        <a:bodyPr/>
        <a:lstStyle/>
        <a:p>
          <a:endParaRPr lang="fr-FR"/>
        </a:p>
      </dgm:t>
    </dgm:pt>
    <dgm:pt modelId="{1C6106EF-842E-C440-9962-9150914DB36D}" type="sibTrans" cxnId="{C097E932-E734-8C4C-94D4-DBAB2D74F11D}">
      <dgm:prSet/>
      <dgm:spPr>
        <a:solidFill>
          <a:srgbClr val="4BB708"/>
        </a:solidFill>
        <a:ln w="19050">
          <a:solidFill>
            <a:srgbClr val="4BB708"/>
          </a:solidFill>
        </a:ln>
      </dgm:spPr>
      <dgm:t>
        <a:bodyPr/>
        <a:lstStyle/>
        <a:p>
          <a:endParaRPr lang="fr-FR"/>
        </a:p>
      </dgm:t>
    </dgm:pt>
    <dgm:pt modelId="{A94638A7-1430-9646-8D0E-7BDFCE3C15EE}">
      <dgm:prSet phldrT="[Texte]" custT="1"/>
      <dgm:spPr>
        <a:solidFill>
          <a:srgbClr val="3E4140"/>
        </a:solidFill>
      </dgm:spPr>
      <dgm:t>
        <a:bodyPr/>
        <a:lstStyle/>
        <a:p>
          <a:r>
            <a:rPr lang="fr-FR" sz="900" b="1" dirty="0"/>
            <a:t>Optimisation, estimation des CEE par Capital Energy</a:t>
          </a:r>
        </a:p>
        <a:p>
          <a:r>
            <a:rPr lang="fr-FR" sz="900" b="0" dirty="0"/>
            <a:t>Délai : 3 jours ouvrés</a:t>
          </a:r>
        </a:p>
      </dgm:t>
    </dgm:pt>
    <dgm:pt modelId="{F976D0B8-8F4A-6A42-BA48-43C3644DBF3F}" type="parTrans" cxnId="{082FB8B9-AC39-EA47-9D9B-FB0B74FE8F41}">
      <dgm:prSet/>
      <dgm:spPr/>
      <dgm:t>
        <a:bodyPr/>
        <a:lstStyle/>
        <a:p>
          <a:endParaRPr lang="fr-FR"/>
        </a:p>
      </dgm:t>
    </dgm:pt>
    <dgm:pt modelId="{F659F548-9D06-3949-B48E-4933C10A59EE}" type="sibTrans" cxnId="{082FB8B9-AC39-EA47-9D9B-FB0B74FE8F41}">
      <dgm:prSet/>
      <dgm:spPr/>
      <dgm:t>
        <a:bodyPr/>
        <a:lstStyle/>
        <a:p>
          <a:endParaRPr lang="fr-FR"/>
        </a:p>
      </dgm:t>
    </dgm:pt>
    <dgm:pt modelId="{6F9BBF2B-4614-3D4E-92E0-A81FDD59E250}">
      <dgm:prSet phldrT="[Texte]" custT="1"/>
      <dgm:spPr>
        <a:solidFill>
          <a:srgbClr val="3E4140"/>
        </a:solidFill>
      </dgm:spPr>
      <dgm:t>
        <a:bodyPr/>
        <a:lstStyle/>
        <a:p>
          <a:r>
            <a:rPr lang="fr-FR" sz="900" b="1" dirty="0"/>
            <a:t>Transmission des documents à Capital Energy</a:t>
          </a:r>
        </a:p>
        <a:p>
          <a:r>
            <a:rPr lang="fr-FR" sz="900" b="0" i="0" dirty="0"/>
            <a:t>Délai : dès la fin des travaux</a:t>
          </a:r>
        </a:p>
      </dgm:t>
    </dgm:pt>
    <dgm:pt modelId="{49223493-A679-4E45-B0BE-AB17FBAA3910}" type="parTrans" cxnId="{D091E6AB-358C-874A-BD12-AC4D4A0454E9}">
      <dgm:prSet/>
      <dgm:spPr/>
      <dgm:t>
        <a:bodyPr/>
        <a:lstStyle/>
        <a:p>
          <a:endParaRPr lang="fr-FR"/>
        </a:p>
      </dgm:t>
    </dgm:pt>
    <dgm:pt modelId="{19471116-8772-854D-A571-23688E5DBB54}" type="sibTrans" cxnId="{D091E6AB-358C-874A-BD12-AC4D4A0454E9}">
      <dgm:prSet/>
      <dgm:spPr/>
      <dgm:t>
        <a:bodyPr/>
        <a:lstStyle/>
        <a:p>
          <a:endParaRPr lang="fr-FR"/>
        </a:p>
      </dgm:t>
    </dgm:pt>
    <dgm:pt modelId="{F8AA9575-6B7B-E34A-B45A-AFDF3626F6F6}">
      <dgm:prSet phldrT="[Texte]" custT="1"/>
      <dgm:spPr>
        <a:solidFill>
          <a:srgbClr val="3E4140"/>
        </a:solidFill>
      </dgm:spPr>
      <dgm:t>
        <a:bodyPr/>
        <a:lstStyle/>
        <a:p>
          <a:r>
            <a:rPr lang="fr-FR" sz="900" b="1" dirty="0"/>
            <a:t>Dépôt du dossier de demande de CEE par Capital Energy</a:t>
          </a:r>
        </a:p>
      </dgm:t>
    </dgm:pt>
    <dgm:pt modelId="{272A0B2B-6F6F-2448-A7E6-21E200DB8944}" type="parTrans" cxnId="{23900CEA-1721-A54F-80DD-64849222D9DB}">
      <dgm:prSet/>
      <dgm:spPr/>
      <dgm:t>
        <a:bodyPr/>
        <a:lstStyle/>
        <a:p>
          <a:endParaRPr lang="fr-FR"/>
        </a:p>
      </dgm:t>
    </dgm:pt>
    <dgm:pt modelId="{56F7FAAB-80D5-3C4F-B2A3-43D0EE82F747}" type="sibTrans" cxnId="{23900CEA-1721-A54F-80DD-64849222D9DB}">
      <dgm:prSet/>
      <dgm:spPr/>
      <dgm:t>
        <a:bodyPr/>
        <a:lstStyle/>
        <a:p>
          <a:endParaRPr lang="fr-FR"/>
        </a:p>
      </dgm:t>
    </dgm:pt>
    <dgm:pt modelId="{653849C5-604A-FB47-B03B-A1B02D4BF0AD}">
      <dgm:prSet phldrT="[Texte]" custT="1"/>
      <dgm:spPr>
        <a:solidFill>
          <a:srgbClr val="3E4140"/>
        </a:solidFill>
      </dgm:spPr>
      <dgm:t>
        <a:bodyPr/>
        <a:lstStyle/>
        <a:p>
          <a:r>
            <a:rPr lang="fr-FR" sz="900" b="1" dirty="0"/>
            <a:t>Paiement des CEE par Capital Energy</a:t>
          </a:r>
        </a:p>
        <a:p>
          <a:r>
            <a:rPr lang="fr-FR" sz="900" b="0" dirty="0"/>
            <a:t>Délai : après la valiation du dossier au Pôle National</a:t>
          </a:r>
        </a:p>
      </dgm:t>
    </dgm:pt>
    <dgm:pt modelId="{3333580F-41EC-8E49-8692-6534A9E88E44}" type="parTrans" cxnId="{A85E4038-775B-BD4A-A5C1-54D697B20BEC}">
      <dgm:prSet/>
      <dgm:spPr/>
      <dgm:t>
        <a:bodyPr/>
        <a:lstStyle/>
        <a:p>
          <a:endParaRPr lang="fr-FR"/>
        </a:p>
      </dgm:t>
    </dgm:pt>
    <dgm:pt modelId="{BB1E8AB6-9FA7-9043-9ECB-A375D38DAF80}" type="sibTrans" cxnId="{A85E4038-775B-BD4A-A5C1-54D697B20BEC}">
      <dgm:prSet/>
      <dgm:spPr/>
      <dgm:t>
        <a:bodyPr/>
        <a:lstStyle/>
        <a:p>
          <a:endParaRPr lang="fr-FR"/>
        </a:p>
      </dgm:t>
    </dgm:pt>
    <dgm:pt modelId="{301DE170-D78D-0D44-891F-1C686802A95F}">
      <dgm:prSet phldrT="[Texte]" custT="1"/>
      <dgm:spPr>
        <a:solidFill>
          <a:srgbClr val="3E4140"/>
        </a:solidFill>
      </dgm:spPr>
      <dgm:t>
        <a:bodyPr/>
        <a:lstStyle/>
        <a:p>
          <a:r>
            <a:rPr lang="fr-FR" sz="900" b="1" dirty="0"/>
            <a:t>Réalisation des travaux par le bénéficiaire</a:t>
          </a:r>
        </a:p>
      </dgm:t>
    </dgm:pt>
    <dgm:pt modelId="{43E18972-0878-6047-A5DC-CB6D5BAC55B4}" type="parTrans" cxnId="{5A77B8B9-F28C-2C45-8BB6-E9B8DC695F5C}">
      <dgm:prSet/>
      <dgm:spPr/>
      <dgm:t>
        <a:bodyPr/>
        <a:lstStyle/>
        <a:p>
          <a:endParaRPr lang="fr-FR"/>
        </a:p>
      </dgm:t>
    </dgm:pt>
    <dgm:pt modelId="{17B2667F-7FD6-E84F-BBE1-85FD46C37688}" type="sibTrans" cxnId="{5A77B8B9-F28C-2C45-8BB6-E9B8DC695F5C}">
      <dgm:prSet/>
      <dgm:spPr/>
      <dgm:t>
        <a:bodyPr/>
        <a:lstStyle/>
        <a:p>
          <a:endParaRPr lang="fr-FR"/>
        </a:p>
      </dgm:t>
    </dgm:pt>
    <dgm:pt modelId="{8F10B919-6B1A-5149-81AB-D5F01659D04A}">
      <dgm:prSet custT="1"/>
      <dgm:spPr>
        <a:solidFill>
          <a:srgbClr val="3E4140"/>
        </a:solidFill>
      </dgm:spPr>
      <dgm:t>
        <a:bodyPr/>
        <a:lstStyle/>
        <a:p>
          <a:r>
            <a:rPr lang="fr-FR" sz="900" b="1" dirty="0"/>
            <a:t>Validation du dossier par le Pôle National</a:t>
          </a:r>
          <a:endParaRPr lang="fr-FR" sz="900" b="1" i="0" u="sng" dirty="0"/>
        </a:p>
      </dgm:t>
    </dgm:pt>
    <dgm:pt modelId="{5D85D794-7DD5-CA43-886D-3309731E8367}" type="parTrans" cxnId="{8C590C97-950B-C349-901E-2333D16EB96A}">
      <dgm:prSet/>
      <dgm:spPr/>
      <dgm:t>
        <a:bodyPr/>
        <a:lstStyle/>
        <a:p>
          <a:endParaRPr lang="fr-FR"/>
        </a:p>
      </dgm:t>
    </dgm:pt>
    <dgm:pt modelId="{EF070080-97CB-F647-902B-6489562B6021}" type="sibTrans" cxnId="{8C590C97-950B-C349-901E-2333D16EB96A}">
      <dgm:prSet/>
      <dgm:spPr/>
      <dgm:t>
        <a:bodyPr/>
        <a:lstStyle/>
        <a:p>
          <a:endParaRPr lang="fr-FR"/>
        </a:p>
      </dgm:t>
    </dgm:pt>
    <dgm:pt modelId="{F9E77391-D99B-104A-9595-0269D9E0C810}" type="pres">
      <dgm:prSet presAssocID="{253664AA-07F6-A94A-8CFA-DAC3DC0C688D}" presName="Name0" presStyleCnt="0">
        <dgm:presLayoutVars>
          <dgm:dir/>
          <dgm:resizeHandles val="exact"/>
        </dgm:presLayoutVars>
      </dgm:prSet>
      <dgm:spPr/>
      <dgm:t>
        <a:bodyPr/>
        <a:lstStyle/>
        <a:p>
          <a:endParaRPr lang="fr-FR"/>
        </a:p>
      </dgm:t>
    </dgm:pt>
    <dgm:pt modelId="{FFB08818-E178-214F-86E2-9195B05AE726}" type="pres">
      <dgm:prSet presAssocID="{253664AA-07F6-A94A-8CFA-DAC3DC0C688D}" presName="cycle" presStyleCnt="0"/>
      <dgm:spPr/>
    </dgm:pt>
    <dgm:pt modelId="{90AD63BD-6C66-E44D-B821-1919A54E71A9}" type="pres">
      <dgm:prSet presAssocID="{9291BE13-845D-D54F-8F27-D33395CF0D24}" presName="nodeFirstNode" presStyleLbl="node1" presStyleIdx="0" presStyleCnt="7">
        <dgm:presLayoutVars>
          <dgm:bulletEnabled val="1"/>
        </dgm:presLayoutVars>
      </dgm:prSet>
      <dgm:spPr/>
      <dgm:t>
        <a:bodyPr/>
        <a:lstStyle/>
        <a:p>
          <a:endParaRPr lang="fr-FR"/>
        </a:p>
      </dgm:t>
    </dgm:pt>
    <dgm:pt modelId="{979B672B-69DE-0440-B3BD-109F5D0156B7}" type="pres">
      <dgm:prSet presAssocID="{1C6106EF-842E-C440-9962-9150914DB36D}" presName="sibTransFirstNode" presStyleLbl="bgShp" presStyleIdx="0" presStyleCnt="1"/>
      <dgm:spPr/>
      <dgm:t>
        <a:bodyPr/>
        <a:lstStyle/>
        <a:p>
          <a:endParaRPr lang="fr-FR"/>
        </a:p>
      </dgm:t>
    </dgm:pt>
    <dgm:pt modelId="{C2A22BD3-FAE3-ED4E-9870-86FB704BBDF3}" type="pres">
      <dgm:prSet presAssocID="{A94638A7-1430-9646-8D0E-7BDFCE3C15EE}" presName="nodeFollowingNodes" presStyleLbl="node1" presStyleIdx="1" presStyleCnt="7">
        <dgm:presLayoutVars>
          <dgm:bulletEnabled val="1"/>
        </dgm:presLayoutVars>
      </dgm:prSet>
      <dgm:spPr/>
      <dgm:t>
        <a:bodyPr/>
        <a:lstStyle/>
        <a:p>
          <a:endParaRPr lang="fr-FR"/>
        </a:p>
      </dgm:t>
    </dgm:pt>
    <dgm:pt modelId="{B9D55E56-E1B9-5940-B660-B205DF83CAFE}" type="pres">
      <dgm:prSet presAssocID="{301DE170-D78D-0D44-891F-1C686802A95F}" presName="nodeFollowingNodes" presStyleLbl="node1" presStyleIdx="2" presStyleCnt="7">
        <dgm:presLayoutVars>
          <dgm:bulletEnabled val="1"/>
        </dgm:presLayoutVars>
      </dgm:prSet>
      <dgm:spPr/>
      <dgm:t>
        <a:bodyPr/>
        <a:lstStyle/>
        <a:p>
          <a:endParaRPr lang="fr-FR"/>
        </a:p>
      </dgm:t>
    </dgm:pt>
    <dgm:pt modelId="{7010BEE3-50A6-4C4B-A695-6214B730D9A9}" type="pres">
      <dgm:prSet presAssocID="{6F9BBF2B-4614-3D4E-92E0-A81FDD59E250}" presName="nodeFollowingNodes" presStyleLbl="node1" presStyleIdx="3" presStyleCnt="7">
        <dgm:presLayoutVars>
          <dgm:bulletEnabled val="1"/>
        </dgm:presLayoutVars>
      </dgm:prSet>
      <dgm:spPr/>
      <dgm:t>
        <a:bodyPr/>
        <a:lstStyle/>
        <a:p>
          <a:endParaRPr lang="fr-FR"/>
        </a:p>
      </dgm:t>
    </dgm:pt>
    <dgm:pt modelId="{DE130256-1C29-094C-9955-43AD1A1F6668}" type="pres">
      <dgm:prSet presAssocID="{F8AA9575-6B7B-E34A-B45A-AFDF3626F6F6}" presName="nodeFollowingNodes" presStyleLbl="node1" presStyleIdx="4" presStyleCnt="7">
        <dgm:presLayoutVars>
          <dgm:bulletEnabled val="1"/>
        </dgm:presLayoutVars>
      </dgm:prSet>
      <dgm:spPr/>
      <dgm:t>
        <a:bodyPr/>
        <a:lstStyle/>
        <a:p>
          <a:endParaRPr lang="fr-FR"/>
        </a:p>
      </dgm:t>
    </dgm:pt>
    <dgm:pt modelId="{42AF3B36-BA4D-094E-AAA0-3A7B7AA8D861}" type="pres">
      <dgm:prSet presAssocID="{653849C5-604A-FB47-B03B-A1B02D4BF0AD}" presName="nodeFollowingNodes" presStyleLbl="node1" presStyleIdx="5" presStyleCnt="7" custRadScaleRad="94704" custRadScaleInc="114857">
        <dgm:presLayoutVars>
          <dgm:bulletEnabled val="1"/>
        </dgm:presLayoutVars>
      </dgm:prSet>
      <dgm:spPr/>
      <dgm:t>
        <a:bodyPr/>
        <a:lstStyle/>
        <a:p>
          <a:endParaRPr lang="fr-FR"/>
        </a:p>
      </dgm:t>
    </dgm:pt>
    <dgm:pt modelId="{733FD4D9-1A94-4D43-ACAC-479B1099EE4D}" type="pres">
      <dgm:prSet presAssocID="{8F10B919-6B1A-5149-81AB-D5F01659D04A}" presName="nodeFollowingNodes" presStyleLbl="node1" presStyleIdx="6" presStyleCnt="7" custRadScaleRad="95247" custRadScaleInc="-112481">
        <dgm:presLayoutVars>
          <dgm:bulletEnabled val="1"/>
        </dgm:presLayoutVars>
      </dgm:prSet>
      <dgm:spPr/>
      <dgm:t>
        <a:bodyPr/>
        <a:lstStyle/>
        <a:p>
          <a:endParaRPr lang="fr-FR"/>
        </a:p>
      </dgm:t>
    </dgm:pt>
  </dgm:ptLst>
  <dgm:cxnLst>
    <dgm:cxn modelId="{DFD38A26-D643-4BE4-9C2E-4ABB902EE3B4}" type="presOf" srcId="{301DE170-D78D-0D44-891F-1C686802A95F}" destId="{B9D55E56-E1B9-5940-B660-B205DF83CAFE}" srcOrd="0" destOrd="0" presId="urn:microsoft.com/office/officeart/2005/8/layout/cycle3"/>
    <dgm:cxn modelId="{C097E932-E734-8C4C-94D4-DBAB2D74F11D}" srcId="{253664AA-07F6-A94A-8CFA-DAC3DC0C688D}" destId="{9291BE13-845D-D54F-8F27-D33395CF0D24}" srcOrd="0" destOrd="0" parTransId="{3B263A06-1D0D-C44B-A59F-ACCEC39AEAE4}" sibTransId="{1C6106EF-842E-C440-9962-9150914DB36D}"/>
    <dgm:cxn modelId="{98B6BD86-DC69-42AF-A50E-F3A5D048DAC5}" type="presOf" srcId="{6F9BBF2B-4614-3D4E-92E0-A81FDD59E250}" destId="{7010BEE3-50A6-4C4B-A695-6214B730D9A9}" srcOrd="0" destOrd="0" presId="urn:microsoft.com/office/officeart/2005/8/layout/cycle3"/>
    <dgm:cxn modelId="{23900CEA-1721-A54F-80DD-64849222D9DB}" srcId="{253664AA-07F6-A94A-8CFA-DAC3DC0C688D}" destId="{F8AA9575-6B7B-E34A-B45A-AFDF3626F6F6}" srcOrd="4" destOrd="0" parTransId="{272A0B2B-6F6F-2448-A7E6-21E200DB8944}" sibTransId="{56F7FAAB-80D5-3C4F-B2A3-43D0EE82F747}"/>
    <dgm:cxn modelId="{5A77B8B9-F28C-2C45-8BB6-E9B8DC695F5C}" srcId="{253664AA-07F6-A94A-8CFA-DAC3DC0C688D}" destId="{301DE170-D78D-0D44-891F-1C686802A95F}" srcOrd="2" destOrd="0" parTransId="{43E18972-0878-6047-A5DC-CB6D5BAC55B4}" sibTransId="{17B2667F-7FD6-E84F-BBE1-85FD46C37688}"/>
    <dgm:cxn modelId="{8C590C97-950B-C349-901E-2333D16EB96A}" srcId="{253664AA-07F6-A94A-8CFA-DAC3DC0C688D}" destId="{8F10B919-6B1A-5149-81AB-D5F01659D04A}" srcOrd="6" destOrd="0" parTransId="{5D85D794-7DD5-CA43-886D-3309731E8367}" sibTransId="{EF070080-97CB-F647-902B-6489562B6021}"/>
    <dgm:cxn modelId="{D091E6AB-358C-874A-BD12-AC4D4A0454E9}" srcId="{253664AA-07F6-A94A-8CFA-DAC3DC0C688D}" destId="{6F9BBF2B-4614-3D4E-92E0-A81FDD59E250}" srcOrd="3" destOrd="0" parTransId="{49223493-A679-4E45-B0BE-AB17FBAA3910}" sibTransId="{19471116-8772-854D-A571-23688E5DBB54}"/>
    <dgm:cxn modelId="{6F596267-883D-4D72-9B29-079B4B5D9E0B}" type="presOf" srcId="{9291BE13-845D-D54F-8F27-D33395CF0D24}" destId="{90AD63BD-6C66-E44D-B821-1919A54E71A9}" srcOrd="0" destOrd="0" presId="urn:microsoft.com/office/officeart/2005/8/layout/cycle3"/>
    <dgm:cxn modelId="{F2B9FC2F-E843-438F-BDF0-969C3F63BEED}" type="presOf" srcId="{F8AA9575-6B7B-E34A-B45A-AFDF3626F6F6}" destId="{DE130256-1C29-094C-9955-43AD1A1F6668}" srcOrd="0" destOrd="0" presId="urn:microsoft.com/office/officeart/2005/8/layout/cycle3"/>
    <dgm:cxn modelId="{010C0ABE-7F6F-42BA-AFB9-FD5B6C59ED88}" type="presOf" srcId="{8F10B919-6B1A-5149-81AB-D5F01659D04A}" destId="{733FD4D9-1A94-4D43-ACAC-479B1099EE4D}" srcOrd="0" destOrd="0" presId="urn:microsoft.com/office/officeart/2005/8/layout/cycle3"/>
    <dgm:cxn modelId="{A5EFA7F1-5421-4344-AE89-59A87670617B}" type="presOf" srcId="{1C6106EF-842E-C440-9962-9150914DB36D}" destId="{979B672B-69DE-0440-B3BD-109F5D0156B7}" srcOrd="0" destOrd="0" presId="urn:microsoft.com/office/officeart/2005/8/layout/cycle3"/>
    <dgm:cxn modelId="{1B6C54F5-244D-4ADA-BAC4-01C1DFFF23AF}" type="presOf" srcId="{253664AA-07F6-A94A-8CFA-DAC3DC0C688D}" destId="{F9E77391-D99B-104A-9595-0269D9E0C810}" srcOrd="0" destOrd="0" presId="urn:microsoft.com/office/officeart/2005/8/layout/cycle3"/>
    <dgm:cxn modelId="{A85E4038-775B-BD4A-A5C1-54D697B20BEC}" srcId="{253664AA-07F6-A94A-8CFA-DAC3DC0C688D}" destId="{653849C5-604A-FB47-B03B-A1B02D4BF0AD}" srcOrd="5" destOrd="0" parTransId="{3333580F-41EC-8E49-8692-6534A9E88E44}" sibTransId="{BB1E8AB6-9FA7-9043-9ECB-A375D38DAF80}"/>
    <dgm:cxn modelId="{947F150F-EA0F-46E9-B7EB-B7D520195CFC}" type="presOf" srcId="{A94638A7-1430-9646-8D0E-7BDFCE3C15EE}" destId="{C2A22BD3-FAE3-ED4E-9870-86FB704BBDF3}" srcOrd="0" destOrd="0" presId="urn:microsoft.com/office/officeart/2005/8/layout/cycle3"/>
    <dgm:cxn modelId="{082FB8B9-AC39-EA47-9D9B-FB0B74FE8F41}" srcId="{253664AA-07F6-A94A-8CFA-DAC3DC0C688D}" destId="{A94638A7-1430-9646-8D0E-7BDFCE3C15EE}" srcOrd="1" destOrd="0" parTransId="{F976D0B8-8F4A-6A42-BA48-43C3644DBF3F}" sibTransId="{F659F548-9D06-3949-B48E-4933C10A59EE}"/>
    <dgm:cxn modelId="{61A31A42-4969-4EE3-97F6-223034C8A77D}" type="presOf" srcId="{653849C5-604A-FB47-B03B-A1B02D4BF0AD}" destId="{42AF3B36-BA4D-094E-AAA0-3A7B7AA8D861}" srcOrd="0" destOrd="0" presId="urn:microsoft.com/office/officeart/2005/8/layout/cycle3"/>
    <dgm:cxn modelId="{19E34AFB-B9DC-4B8E-89CA-CFD53FEDBE6F}" type="presParOf" srcId="{F9E77391-D99B-104A-9595-0269D9E0C810}" destId="{FFB08818-E178-214F-86E2-9195B05AE726}" srcOrd="0" destOrd="0" presId="urn:microsoft.com/office/officeart/2005/8/layout/cycle3"/>
    <dgm:cxn modelId="{4175FD38-629A-4807-941F-44E127BBC345}" type="presParOf" srcId="{FFB08818-E178-214F-86E2-9195B05AE726}" destId="{90AD63BD-6C66-E44D-B821-1919A54E71A9}" srcOrd="0" destOrd="0" presId="urn:microsoft.com/office/officeart/2005/8/layout/cycle3"/>
    <dgm:cxn modelId="{39C6B9D8-27C9-4451-A9ED-7A9F0E1A7CFC}" type="presParOf" srcId="{FFB08818-E178-214F-86E2-9195B05AE726}" destId="{979B672B-69DE-0440-B3BD-109F5D0156B7}" srcOrd="1" destOrd="0" presId="urn:microsoft.com/office/officeart/2005/8/layout/cycle3"/>
    <dgm:cxn modelId="{CCA3E442-E6C0-40EE-93A4-C85CADACB793}" type="presParOf" srcId="{FFB08818-E178-214F-86E2-9195B05AE726}" destId="{C2A22BD3-FAE3-ED4E-9870-86FB704BBDF3}" srcOrd="2" destOrd="0" presId="urn:microsoft.com/office/officeart/2005/8/layout/cycle3"/>
    <dgm:cxn modelId="{360F4EDF-7651-4E58-BB19-83FF7594E275}" type="presParOf" srcId="{FFB08818-E178-214F-86E2-9195B05AE726}" destId="{B9D55E56-E1B9-5940-B660-B205DF83CAFE}" srcOrd="3" destOrd="0" presId="urn:microsoft.com/office/officeart/2005/8/layout/cycle3"/>
    <dgm:cxn modelId="{602C6D9A-B27D-4C7A-A287-4BB28B39CFFD}" type="presParOf" srcId="{FFB08818-E178-214F-86E2-9195B05AE726}" destId="{7010BEE3-50A6-4C4B-A695-6214B730D9A9}" srcOrd="4" destOrd="0" presId="urn:microsoft.com/office/officeart/2005/8/layout/cycle3"/>
    <dgm:cxn modelId="{9E225395-A7C2-463C-8F1C-E6465CF966F1}" type="presParOf" srcId="{FFB08818-E178-214F-86E2-9195B05AE726}" destId="{DE130256-1C29-094C-9955-43AD1A1F6668}" srcOrd="5" destOrd="0" presId="urn:microsoft.com/office/officeart/2005/8/layout/cycle3"/>
    <dgm:cxn modelId="{CDD84EE7-EF84-4A8D-9CA0-FD754111F785}" type="presParOf" srcId="{FFB08818-E178-214F-86E2-9195B05AE726}" destId="{42AF3B36-BA4D-094E-AAA0-3A7B7AA8D861}" srcOrd="6" destOrd="0" presId="urn:microsoft.com/office/officeart/2005/8/layout/cycle3"/>
    <dgm:cxn modelId="{D4AA446A-1F2A-467E-AE0F-2D49164723A5}" type="presParOf" srcId="{FFB08818-E178-214F-86E2-9195B05AE726}" destId="{733FD4D9-1A94-4D43-ACAC-479B1099EE4D}" srcOrd="7" destOrd="0" presId="urn:microsoft.com/office/officeart/2005/8/layout/cycle3"/>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cycle3">
  <dgm:title val=""/>
  <dgm:desc val=""/>
  <dgm:catLst>
    <dgm:cat type="cycle" pri="5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axis="ch" ptType="node" func="cnt" op="equ" val="2">
        <dgm:alg type="composite">
          <dgm:param type="ar" val="0.9"/>
        </dgm:alg>
        <dgm:shape xmlns:r="http://schemas.openxmlformats.org/officeDocument/2006/relationships" r:blip="">
          <dgm:adjLst/>
        </dgm:shape>
        <dgm:presOf/>
        <dgm:constrLst>
          <dgm:constr type="primFontSz" for="ch" ptType="node" op="equ" val="65"/>
          <dgm:constr type="ctrX" for="ch" forName="node1" refType="w" fact="0.5"/>
          <dgm:constr type="t" for="ch" forName="node1"/>
          <dgm:constr type="w" for="ch" forName="node1" refType="w" fact="0.8"/>
          <dgm:constr type="h" for="ch" forName="node1" refType="w" refFor="ch" refForName="node1" fact="0.5"/>
          <dgm:constr type="ctrX" for="ch" forName="sibTrans" refType="w" fact="0.5"/>
          <dgm:constr type="t" for="ch" forName="sibTrans"/>
          <dgm:constr type="w" for="ch" forName="sibTrans" refType="w" fact="0.8"/>
          <dgm:constr type="h" for="ch" forName="sibTrans" refType="w" refFor="ch" refForName="node1" fact="0.5"/>
          <dgm:constr type="userA" for="ch" forName="sibTrans" refType="w" fact="1.07"/>
          <dgm:constr type="ctrX" for="ch" forName="node2" refType="w" fact="0.5"/>
          <dgm:constr type="b" for="ch" forName="node2" refType="h"/>
          <dgm:constr type="w" for="ch" forName="node2" refType="w" fact="0.8"/>
          <dgm:constr type="h" for="ch" forName="node2" refType="w" refFor="ch" refForName="node1" fact="0.5"/>
          <dgm:constr type="l" for="ch" forName="sp1"/>
          <dgm:constr type="t" for="ch" forName="sp1" refType="h" fact="0.5"/>
          <dgm:constr type="w" for="ch" forName="sp1" val="1"/>
          <dgm:constr type="h" for="ch" forName="sp1" val="1"/>
          <dgm:constr type="r" for="ch" forName="sp2" refType="w"/>
          <dgm:constr type="t" for="ch" forName="sp2" refType="h" fact="0.5"/>
          <dgm:constr type="w" for="ch" forName="sp2" val="1"/>
          <dgm:constr type="h" for="ch" forName="sp2" val="1"/>
        </dgm:constrLst>
        <dgm:ruleLst/>
      </dgm:if>
      <dgm:else name="Name3">
        <dgm:alg type="composite"/>
        <dgm:shape xmlns:r="http://schemas.openxmlformats.org/officeDocument/2006/relationships" r:blip="">
          <dgm:adjLst/>
        </dgm:shape>
        <dgm:presOf/>
        <dgm:constrLst>
          <dgm:constr type="primFontSz" for="ch" ptType="node" op="equ" val="65"/>
        </dgm:constrLst>
        <dgm:ruleLst/>
      </dgm:else>
    </dgm:choose>
    <dgm:choose name="Name4">
      <dgm:if name="Name5" axis="ch" ptType="node" func="cnt" op="equ" val="2">
        <dgm:layoutNode name="node1">
          <dgm:varLst>
            <dgm:bulletEnabled val="1"/>
          </dgm:varLst>
          <dgm:alg type="tx"/>
          <dgm:shape xmlns:r="http://schemas.openxmlformats.org/officeDocument/2006/relationships" type="roundRect" r:blip="">
            <dgm:adjLst/>
          </dgm:shape>
          <dgm:presOf axis="ch desOrSelf"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ibTrans" styleLbl="bgShp">
          <dgm:choose name="Name6">
            <dgm:if name="Name7" func="var" arg="dir" op="equ" val="norm">
              <dgm:alg type="conn">
                <dgm:param type="connRout" val="longCurve"/>
                <dgm:param type="begPts" val="midR"/>
                <dgm:param type="endPts" val="midL"/>
                <dgm:param type="dstNode" val="node1"/>
              </dgm:alg>
              <dgm:shape xmlns:r="http://schemas.openxmlformats.org/officeDocument/2006/relationships" type="conn" r:blip="" zOrderOff="-2">
                <dgm:adjLst/>
              </dgm:shape>
              <dgm:presOf axis="ch" ptType="sibTrans"/>
              <dgm:constrLst>
                <dgm:constr type="userA"/>
                <dgm:constr type="diam" refType="userA" fact="-1"/>
                <dgm:constr type="wArH" refType="userA" fact="0.05"/>
                <dgm:constr type="hArH" refType="userA" fact="0.1"/>
                <dgm:constr type="stemThick" refType="userA" fact="0.06"/>
                <dgm:constr type="begPad" refType="connDist" fact="-0.2"/>
                <dgm:constr type="endPad" refType="connDist" fact="0.05"/>
              </dgm:constrLst>
            </dgm:if>
            <dgm:else name="Name8">
              <dgm:alg type="conn">
                <dgm:param type="connRout" val="longCurve"/>
                <dgm:param type="begPts" val="midL"/>
                <dgm:param type="endPts" val="midR"/>
                <dgm:param type="dstNode" val="node1"/>
              </dgm:alg>
              <dgm:shape xmlns:r="http://schemas.openxmlformats.org/officeDocument/2006/relationships" type="conn" r:blip="" zOrderOff="-2">
                <dgm:adjLst/>
              </dgm:shape>
              <dgm:presOf axis="ch" ptType="sibTrans"/>
              <dgm:constrLst>
                <dgm:constr type="userA"/>
                <dgm:constr type="diam" refType="userA"/>
                <dgm:constr type="wArH" refType="userA" fact="0.05"/>
                <dgm:constr type="hArH" refType="userA" fact="0.1"/>
                <dgm:constr type="stemThick" refType="userA" fact="0.06"/>
                <dgm:constr type="begPad" refType="connDist" fact="-0.2"/>
                <dgm:constr type="endPad" refType="connDist" fact="0.05"/>
              </dgm:constrLst>
            </dgm:else>
          </dgm:choose>
          <dgm:ruleLst/>
        </dgm:layoutNode>
        <dgm:layoutNode name="node2">
          <dgm:varLst>
            <dgm:bulletEnabled val="1"/>
          </dgm:varLst>
          <dgm:alg type="tx"/>
          <dgm:shape xmlns:r="http://schemas.openxmlformats.org/officeDocument/2006/relationships" type="roundRect" r:blip="">
            <dgm:adjLst/>
          </dgm:shape>
          <dgm:presOf axis="ch desOrSelf"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p1">
          <dgm:alg type="sp"/>
          <dgm:shape xmlns:r="http://schemas.openxmlformats.org/officeDocument/2006/relationships" r:blip="">
            <dgm:adjLst/>
          </dgm:shape>
          <dgm:presOf/>
          <dgm:constrLst/>
          <dgm:ruleLst/>
        </dgm:layoutNode>
        <dgm:layoutNode name="sp2">
          <dgm:alg type="sp"/>
          <dgm:shape xmlns:r="http://schemas.openxmlformats.org/officeDocument/2006/relationships" r:blip="">
            <dgm:adjLst/>
          </dgm:shape>
          <dgm:presOf/>
          <dgm:constrLst/>
          <dgm:ruleLst/>
        </dgm:layoutNode>
      </dgm:if>
      <dgm:else name="Name9">
        <dgm:layoutNode name="cycle">
          <dgm:choose name="Name10">
            <dgm:if name="Name11" func="var" arg="dir" op="equ" val="norm">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fact="-1"/>
                <dgm:constr type="wArH" for="ch" ptType="sibTrans" refType="diam" op="equ" fact="0.05"/>
                <dgm:constr type="hArH" for="ch" ptType="sibTrans" refType="diam" op="equ" fact="0.1"/>
                <dgm:constr type="stemThick" for="ch" ptType="sibTrans" refType="diam" op="equ" fact="0.065"/>
                <dgm:constr type="primFontSz" for="ch" ptType="node" op="equ"/>
              </dgm:constrLst>
            </dgm:if>
            <dgm:else name="Name12">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dgm:constr type="wArH" for="ch" ptType="sibTrans" refType="diam" op="equ" fact="0.05"/>
                <dgm:constr type="hArH" for="ch" ptType="sibTrans" refType="diam" op="equ" fact="0.1"/>
                <dgm:constr type="stemThick" for="ch" ptType="sibTrans" refType="diam" op="equ" fact="0.065"/>
                <dgm:constr type="primFontSz" for="ch" ptType="node" op="equ"/>
              </dgm:constrLst>
            </dgm:else>
          </dgm:choose>
          <dgm:ruleLst/>
          <dgm:forEach name="nodesFirstNodeForEach" axis="ch" ptType="node" cnt="1">
            <dgm:layoutNode name="nodeFirstNode">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FirstNode" styleLbl="bgShp">
                <dgm:choose name="Name13">
                  <dgm:if name="Name14" func="var" arg="dir" op="equ" val="norm">
                    <dgm:alg type="conn">
                      <dgm:param type="connRout" val="longCurve"/>
                      <dgm:param type="begPts" val="midR"/>
                      <dgm:param type="endPts" val="midL"/>
                      <dgm:param type="dstNode" val="nodeFirstNode"/>
                    </dgm:alg>
                  </dgm:if>
                  <dgm:else name="Name15">
                    <dgm:alg type="conn">
                      <dgm:param type="connRout" val="longCurve"/>
                      <dgm:param type="begPts" val="midL"/>
                      <dgm:param type="endPts" val="midR"/>
                      <dgm:param type="dstNode" val="nodeFirstNode"/>
                    </dgm:alg>
                  </dgm:else>
                </dgm:choose>
                <dgm:shape xmlns:r="http://schemas.openxmlformats.org/officeDocument/2006/relationships" type="conn" r:blip="" zOrderOff="-2">
                  <dgm:adjLst/>
                </dgm:shape>
                <dgm:presOf axis="self"/>
                <dgm:choose name="Name16">
                  <dgm:if name="Name17" axis="par ch" ptType="doc node" func="cnt" op="equ" val="3">
                    <dgm:constrLst>
                      <dgm:constr type="userA"/>
                      <dgm:constr type="diam" refType="userA" fact="1.01"/>
                      <dgm:constr type="begPad" refType="connDist" fact="-0.2"/>
                      <dgm:constr type="endPad" refType="connDist" fact="0.05"/>
                    </dgm:constrLst>
                  </dgm:if>
                  <dgm:if name="Name18" axis="par ch" ptType="doc node" func="cnt" op="equ" val="4">
                    <dgm:constrLst>
                      <dgm:constr type="userA"/>
                      <dgm:constr type="diam" refType="userA" fact="1.26"/>
                      <dgm:constr type="begPad" refType="connDist" fact="-0.2"/>
                      <dgm:constr type="endPad" refType="connDist" fact="0.05"/>
                    </dgm:constrLst>
                  </dgm:if>
                  <dgm:if name="Name19" axis="par ch" ptType="doc node" func="cnt" op="equ" val="5">
                    <dgm:constrLst>
                      <dgm:constr type="userA"/>
                      <dgm:constr type="diam" refType="userA" fact="1.04"/>
                      <dgm:constr type="begPad" refType="connDist" fact="-0.2"/>
                      <dgm:constr type="endPad" refType="connDist" fact="0.05"/>
                    </dgm:constrLst>
                  </dgm:if>
                  <dgm:if name="Name20" axis="par ch" ptType="doc node" func="cnt" op="equ" val="6">
                    <dgm:constrLst>
                      <dgm:constr type="userA"/>
                      <dgm:constr type="diam" refType="userA" fact="1.1"/>
                      <dgm:constr type="begPad" refType="connDist" fact="-0.2"/>
                      <dgm:constr type="endPad" refType="connDist" fact="0.05"/>
                    </dgm:constrLst>
                  </dgm:if>
                  <dgm:else name="Name21">
                    <dgm:constrLst>
                      <dgm:constr type="userA"/>
                      <dgm:constr type="diam" refType="userA" fact="1.04"/>
                      <dgm:constr type="begPad" refType="connDist" fact="-0.2"/>
                      <dgm:constr type="endPad" refType="connDist" fact="0.05"/>
                    </dgm:constrLst>
                  </dgm:else>
                </dgm:choose>
                <dgm:ruleLst/>
              </dgm:layoutNode>
            </dgm:forEach>
          </dgm:forEach>
          <dgm:forEach name="followingNodesForEach" axis="ch" ptType="node" st="2">
            <dgm:layoutNode name="nodeFollowingNodes">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dgm:layoutNode>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jpeg"/><Relationship Id="rId5" Type="http://schemas.openxmlformats.org/officeDocument/2006/relationships/image" Target="../media/image10.png"/><Relationship Id="rId4"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414619</xdr:colOff>
      <xdr:row>7</xdr:row>
      <xdr:rowOff>134476</xdr:rowOff>
    </xdr:from>
    <xdr:to>
      <xdr:col>1</xdr:col>
      <xdr:colOff>5367619</xdr:colOff>
      <xdr:row>31</xdr:row>
      <xdr:rowOff>56682</xdr:rowOff>
    </xdr:to>
    <xdr:graphicFrame macro="">
      <xdr:nvGraphicFramePr>
        <xdr:cNvPr id="2" name="Diagramme 1">
          <a:extLst>
            <a:ext uri="{FF2B5EF4-FFF2-40B4-BE49-F238E27FC236}">
              <a16:creationId xmlns=""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247650</xdr:colOff>
      <xdr:row>0</xdr:row>
      <xdr:rowOff>104775</xdr:rowOff>
    </xdr:from>
    <xdr:to>
      <xdr:col>1</xdr:col>
      <xdr:colOff>895350</xdr:colOff>
      <xdr:row>3</xdr:row>
      <xdr:rowOff>0</xdr:rowOff>
    </xdr:to>
    <xdr:pic>
      <xdr:nvPicPr>
        <xdr:cNvPr id="21969" name="Image 2" descr="LOGO.JPG">
          <a:extLst>
            <a:ext uri="{FF2B5EF4-FFF2-40B4-BE49-F238E27FC236}">
              <a16:creationId xmlns="" xmlns:a16="http://schemas.microsoft.com/office/drawing/2014/main" id="{00000000-0008-0000-0000-0000D1550000}"/>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1009650" y="104775"/>
          <a:ext cx="647700" cy="657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2229970</xdr:colOff>
      <xdr:row>16</xdr:row>
      <xdr:rowOff>112059</xdr:rowOff>
    </xdr:from>
    <xdr:to>
      <xdr:col>1</xdr:col>
      <xdr:colOff>3619499</xdr:colOff>
      <xdr:row>26</xdr:row>
      <xdr:rowOff>112058</xdr:rowOff>
    </xdr:to>
    <xdr:sp macro="" textlink="">
      <xdr:nvSpPr>
        <xdr:cNvPr id="5" name="ZoneTexte 4">
          <a:extLst>
            <a:ext uri="{FF2B5EF4-FFF2-40B4-BE49-F238E27FC236}">
              <a16:creationId xmlns="" xmlns:a16="http://schemas.microsoft.com/office/drawing/2014/main" id="{00000000-0008-0000-0000-000005000000}"/>
            </a:ext>
          </a:extLst>
        </xdr:cNvPr>
        <xdr:cNvSpPr txBox="1"/>
      </xdr:nvSpPr>
      <xdr:spPr>
        <a:xfrm>
          <a:off x="2229970" y="3496235"/>
          <a:ext cx="1389529" cy="1904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lang="fr-FR" sz="1400" b="1" i="0">
              <a:solidFill>
                <a:srgbClr val="3E4140"/>
              </a:solidFill>
            </a:rPr>
            <a:t>La chronologie est primordiale dans la réalisation d'un dossier de demande de CEE.</a:t>
          </a:r>
        </a:p>
      </xdr:txBody>
    </xdr:sp>
    <xdr:clientData/>
  </xdr:twoCellAnchor>
  <xdr:twoCellAnchor>
    <xdr:from>
      <xdr:col>1</xdr:col>
      <xdr:colOff>5425328</xdr:colOff>
      <xdr:row>21</xdr:row>
      <xdr:rowOff>119904</xdr:rowOff>
    </xdr:from>
    <xdr:to>
      <xdr:col>1</xdr:col>
      <xdr:colOff>5698752</xdr:colOff>
      <xdr:row>23</xdr:row>
      <xdr:rowOff>45946</xdr:rowOff>
    </xdr:to>
    <xdr:sp macro="" textlink="">
      <xdr:nvSpPr>
        <xdr:cNvPr id="6" name="ZoneTexte 5">
          <a:extLst>
            <a:ext uri="{FF2B5EF4-FFF2-40B4-BE49-F238E27FC236}">
              <a16:creationId xmlns="" xmlns:a16="http://schemas.microsoft.com/office/drawing/2014/main" id="{00000000-0008-0000-0000-000006000000}"/>
            </a:ext>
          </a:extLst>
        </xdr:cNvPr>
        <xdr:cNvSpPr txBox="1"/>
      </xdr:nvSpPr>
      <xdr:spPr>
        <a:xfrm>
          <a:off x="5425328" y="4453779"/>
          <a:ext cx="273424" cy="307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i="0"/>
            <a:t>1</a:t>
          </a:r>
        </a:p>
      </xdr:txBody>
    </xdr:sp>
    <xdr:clientData/>
  </xdr:twoCellAnchor>
  <xdr:twoCellAnchor>
    <xdr:from>
      <xdr:col>1</xdr:col>
      <xdr:colOff>4424083</xdr:colOff>
      <xdr:row>28</xdr:row>
      <xdr:rowOff>68357</xdr:rowOff>
    </xdr:from>
    <xdr:to>
      <xdr:col>1</xdr:col>
      <xdr:colOff>4769225</xdr:colOff>
      <xdr:row>29</xdr:row>
      <xdr:rowOff>184899</xdr:rowOff>
    </xdr:to>
    <xdr:sp macro="" textlink="">
      <xdr:nvSpPr>
        <xdr:cNvPr id="7" name="ZoneTexte 6">
          <a:extLst>
            <a:ext uri="{FF2B5EF4-FFF2-40B4-BE49-F238E27FC236}">
              <a16:creationId xmlns="" xmlns:a16="http://schemas.microsoft.com/office/drawing/2014/main" id="{00000000-0008-0000-0000-000007000000}"/>
            </a:ext>
          </a:extLst>
        </xdr:cNvPr>
        <xdr:cNvSpPr txBox="1"/>
      </xdr:nvSpPr>
      <xdr:spPr>
        <a:xfrm>
          <a:off x="4424083" y="5735732"/>
          <a:ext cx="345142" cy="307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i="0"/>
            <a:t>2</a:t>
          </a:r>
        </a:p>
      </xdr:txBody>
    </xdr:sp>
    <xdr:clientData/>
  </xdr:twoCellAnchor>
  <xdr:twoCellAnchor>
    <xdr:from>
      <xdr:col>1</xdr:col>
      <xdr:colOff>145678</xdr:colOff>
      <xdr:row>21</xdr:row>
      <xdr:rowOff>64995</xdr:rowOff>
    </xdr:from>
    <xdr:to>
      <xdr:col>1</xdr:col>
      <xdr:colOff>912161</xdr:colOff>
      <xdr:row>22</xdr:row>
      <xdr:rowOff>181537</xdr:rowOff>
    </xdr:to>
    <xdr:sp macro="" textlink="">
      <xdr:nvSpPr>
        <xdr:cNvPr id="8" name="ZoneTexte 7">
          <a:extLst>
            <a:ext uri="{FF2B5EF4-FFF2-40B4-BE49-F238E27FC236}">
              <a16:creationId xmlns="" xmlns:a16="http://schemas.microsoft.com/office/drawing/2014/main" id="{00000000-0008-0000-0000-000008000000}"/>
            </a:ext>
          </a:extLst>
        </xdr:cNvPr>
        <xdr:cNvSpPr txBox="1"/>
      </xdr:nvSpPr>
      <xdr:spPr>
        <a:xfrm>
          <a:off x="145678" y="4401671"/>
          <a:ext cx="766483" cy="307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i="0"/>
            <a:t>3</a:t>
          </a:r>
        </a:p>
      </xdr:txBody>
    </xdr:sp>
    <xdr:clientData/>
  </xdr:twoCellAnchor>
  <xdr:twoCellAnchor>
    <xdr:from>
      <xdr:col>0</xdr:col>
      <xdr:colOff>521805</xdr:colOff>
      <xdr:row>2</xdr:row>
      <xdr:rowOff>132522</xdr:rowOff>
    </xdr:from>
    <xdr:to>
      <xdr:col>1</xdr:col>
      <xdr:colOff>1442555</xdr:colOff>
      <xdr:row>5</xdr:row>
      <xdr:rowOff>88349</xdr:rowOff>
    </xdr:to>
    <xdr:sp macro="" textlink="">
      <xdr:nvSpPr>
        <xdr:cNvPr id="10" name="ZoneTexte 9">
          <a:extLst>
            <a:ext uri="{FF2B5EF4-FFF2-40B4-BE49-F238E27FC236}">
              <a16:creationId xmlns="" xmlns:a16="http://schemas.microsoft.com/office/drawing/2014/main" id="{00000000-0008-0000-0000-00000A000000}"/>
            </a:ext>
          </a:extLst>
        </xdr:cNvPr>
        <xdr:cNvSpPr txBox="1"/>
      </xdr:nvSpPr>
      <xdr:spPr>
        <a:xfrm>
          <a:off x="521805" y="704022"/>
          <a:ext cx="1682750" cy="527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409575</xdr:colOff>
      <xdr:row>0</xdr:row>
      <xdr:rowOff>9525</xdr:rowOff>
    </xdr:from>
    <xdr:to>
      <xdr:col>6</xdr:col>
      <xdr:colOff>988218</xdr:colOff>
      <xdr:row>2</xdr:row>
      <xdr:rowOff>114300</xdr:rowOff>
    </xdr:to>
    <xdr:pic>
      <xdr:nvPicPr>
        <xdr:cNvPr id="8838" name="Picture 2">
          <a:extLst>
            <a:ext uri="{FF2B5EF4-FFF2-40B4-BE49-F238E27FC236}">
              <a16:creationId xmlns="" xmlns:a16="http://schemas.microsoft.com/office/drawing/2014/main" id="{00000000-0008-0000-0900-00008622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6400800" y="9525"/>
          <a:ext cx="59055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1019175</xdr:colOff>
      <xdr:row>48</xdr:row>
      <xdr:rowOff>9525</xdr:rowOff>
    </xdr:from>
    <xdr:to>
      <xdr:col>5</xdr:col>
      <xdr:colOff>1023937</xdr:colOff>
      <xdr:row>51</xdr:row>
      <xdr:rowOff>170890</xdr:rowOff>
    </xdr:to>
    <xdr:pic>
      <xdr:nvPicPr>
        <xdr:cNvPr id="8839" name="Image 2" descr="C:\Documents and Settings\ST-03\Bureau\Pierre LEPAGE\Pésentation DHL\Images présentation\fond.bmp">
          <a:extLst>
            <a:ext uri="{FF2B5EF4-FFF2-40B4-BE49-F238E27FC236}">
              <a16:creationId xmlns="" xmlns:a16="http://schemas.microsoft.com/office/drawing/2014/main" id="{00000000-0008-0000-0900-00008722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l="44934" t="9650"/>
        <a:stretch>
          <a:fillRect/>
        </a:stretch>
      </xdr:blipFill>
      <xdr:spPr bwMode="auto">
        <a:xfrm>
          <a:off x="4962525" y="10258425"/>
          <a:ext cx="1028700"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1799648</xdr:colOff>
      <xdr:row>0</xdr:row>
      <xdr:rowOff>86590</xdr:rowOff>
    </xdr:from>
    <xdr:to>
      <xdr:col>10</xdr:col>
      <xdr:colOff>59746</xdr:colOff>
      <xdr:row>10</xdr:row>
      <xdr:rowOff>353497</xdr:rowOff>
    </xdr:to>
    <xdr:pic>
      <xdr:nvPicPr>
        <xdr:cNvPr id="23828" name="Image 3" descr="LOGO.JPG">
          <a:extLst>
            <a:ext uri="{FF2B5EF4-FFF2-40B4-BE49-F238E27FC236}">
              <a16:creationId xmlns="" xmlns:a16="http://schemas.microsoft.com/office/drawing/2014/main" id="{00000000-0008-0000-0A00-0000145D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965421" y="86590"/>
          <a:ext cx="2035461" cy="18948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2163041</xdr:colOff>
      <xdr:row>307</xdr:row>
      <xdr:rowOff>115166</xdr:rowOff>
    </xdr:from>
    <xdr:to>
      <xdr:col>2</xdr:col>
      <xdr:colOff>2737138</xdr:colOff>
      <xdr:row>313</xdr:row>
      <xdr:rowOff>25111</xdr:rowOff>
    </xdr:to>
    <xdr:pic>
      <xdr:nvPicPr>
        <xdr:cNvPr id="23830" name="Image 9">
          <a:extLst>
            <a:ext uri="{FF2B5EF4-FFF2-40B4-BE49-F238E27FC236}">
              <a16:creationId xmlns="" xmlns:a16="http://schemas.microsoft.com/office/drawing/2014/main" id="{00000000-0008-0000-0A00-0000165D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r="54050" b="54259"/>
        <a:stretch>
          <a:fillRect/>
        </a:stretch>
      </xdr:blipFill>
      <xdr:spPr bwMode="auto">
        <a:xfrm>
          <a:off x="2422814" y="79865393"/>
          <a:ext cx="3414279" cy="136467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11381</xdr:colOff>
      <xdr:row>170</xdr:row>
      <xdr:rowOff>311731</xdr:rowOff>
    </xdr:from>
    <xdr:to>
      <xdr:col>9</xdr:col>
      <xdr:colOff>22978</xdr:colOff>
      <xdr:row>171</xdr:row>
      <xdr:rowOff>311729</xdr:rowOff>
    </xdr:to>
    <xdr:sp macro="" textlink="">
      <xdr:nvSpPr>
        <xdr:cNvPr id="32" name="ZoneTexte 31">
          <a:extLst>
            <a:ext uri="{FF2B5EF4-FFF2-40B4-BE49-F238E27FC236}">
              <a16:creationId xmlns="" xmlns:a16="http://schemas.microsoft.com/office/drawing/2014/main" id="{00000000-0008-0000-0A00-000020000000}"/>
            </a:ext>
          </a:extLst>
        </xdr:cNvPr>
        <xdr:cNvSpPr txBox="1"/>
      </xdr:nvSpPr>
      <xdr:spPr bwMode="auto">
        <a:xfrm>
          <a:off x="271154" y="38359776"/>
          <a:ext cx="12151642" cy="346362"/>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4. VALORISATION DES CERTIFICATS</a:t>
          </a:r>
        </a:p>
      </xdr:txBody>
    </xdr:sp>
    <xdr:clientData/>
  </xdr:twoCellAnchor>
  <xdr:twoCellAnchor>
    <xdr:from>
      <xdr:col>1</xdr:col>
      <xdr:colOff>10391</xdr:colOff>
      <xdr:row>179</xdr:row>
      <xdr:rowOff>103904</xdr:rowOff>
    </xdr:from>
    <xdr:to>
      <xdr:col>9</xdr:col>
      <xdr:colOff>6277</xdr:colOff>
      <xdr:row>179</xdr:row>
      <xdr:rowOff>532893</xdr:rowOff>
    </xdr:to>
    <xdr:sp macro="" textlink="">
      <xdr:nvSpPr>
        <xdr:cNvPr id="34" name="ZoneTexte 33">
          <a:extLst>
            <a:ext uri="{FF2B5EF4-FFF2-40B4-BE49-F238E27FC236}">
              <a16:creationId xmlns="" xmlns:a16="http://schemas.microsoft.com/office/drawing/2014/main" id="{00000000-0008-0000-0A00-000022000000}"/>
            </a:ext>
          </a:extLst>
        </xdr:cNvPr>
        <xdr:cNvSpPr txBox="1"/>
      </xdr:nvSpPr>
      <xdr:spPr bwMode="auto">
        <a:xfrm>
          <a:off x="270164" y="40818949"/>
          <a:ext cx="12135931" cy="428989"/>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5. INSTRUCTION, FACTURATION ET REGLEMENT</a:t>
          </a:r>
        </a:p>
      </xdr:txBody>
    </xdr:sp>
    <xdr:clientData/>
  </xdr:twoCellAnchor>
  <xdr:twoCellAnchor>
    <xdr:from>
      <xdr:col>1</xdr:col>
      <xdr:colOff>10638</xdr:colOff>
      <xdr:row>185</xdr:row>
      <xdr:rowOff>158886</xdr:rowOff>
    </xdr:from>
    <xdr:to>
      <xdr:col>8</xdr:col>
      <xdr:colOff>28295</xdr:colOff>
      <xdr:row>188</xdr:row>
      <xdr:rowOff>6482</xdr:rowOff>
    </xdr:to>
    <xdr:sp macro="" textlink="">
      <xdr:nvSpPr>
        <xdr:cNvPr id="35" name="ZoneTexte 34">
          <a:extLst>
            <a:ext uri="{FF2B5EF4-FFF2-40B4-BE49-F238E27FC236}">
              <a16:creationId xmlns="" xmlns:a16="http://schemas.microsoft.com/office/drawing/2014/main" id="{00000000-0008-0000-0A00-000023000000}"/>
            </a:ext>
          </a:extLst>
        </xdr:cNvPr>
        <xdr:cNvSpPr txBox="1"/>
      </xdr:nvSpPr>
      <xdr:spPr bwMode="auto">
        <a:xfrm>
          <a:off x="282781" y="42803672"/>
          <a:ext cx="12087193" cy="405489"/>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6. ELEMENTS CONSTITUTIFS DU DOSSIER</a:t>
          </a:r>
        </a:p>
      </xdr:txBody>
    </xdr:sp>
    <xdr:clientData/>
  </xdr:twoCellAnchor>
  <xdr:twoCellAnchor>
    <xdr:from>
      <xdr:col>1</xdr:col>
      <xdr:colOff>7175</xdr:colOff>
      <xdr:row>199</xdr:row>
      <xdr:rowOff>118992</xdr:rowOff>
    </xdr:from>
    <xdr:to>
      <xdr:col>8</xdr:col>
      <xdr:colOff>34357</xdr:colOff>
      <xdr:row>201</xdr:row>
      <xdr:rowOff>163233</xdr:rowOff>
    </xdr:to>
    <xdr:sp macro="" textlink="">
      <xdr:nvSpPr>
        <xdr:cNvPr id="36" name="ZoneTexte 35">
          <a:extLst>
            <a:ext uri="{FF2B5EF4-FFF2-40B4-BE49-F238E27FC236}">
              <a16:creationId xmlns="" xmlns:a16="http://schemas.microsoft.com/office/drawing/2014/main" id="{00000000-0008-0000-0A00-000024000000}"/>
            </a:ext>
          </a:extLst>
        </xdr:cNvPr>
        <xdr:cNvSpPr txBox="1"/>
      </xdr:nvSpPr>
      <xdr:spPr bwMode="auto">
        <a:xfrm>
          <a:off x="279318" y="47403813"/>
          <a:ext cx="12096718" cy="398027"/>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7. PLANNING</a:t>
          </a:r>
        </a:p>
      </xdr:txBody>
    </xdr:sp>
    <xdr:clientData/>
  </xdr:twoCellAnchor>
  <xdr:twoCellAnchor>
    <xdr:from>
      <xdr:col>1</xdr:col>
      <xdr:colOff>17319</xdr:colOff>
      <xdr:row>244</xdr:row>
      <xdr:rowOff>121227</xdr:rowOff>
    </xdr:from>
    <xdr:to>
      <xdr:col>9</xdr:col>
      <xdr:colOff>217</xdr:colOff>
      <xdr:row>246</xdr:row>
      <xdr:rowOff>3460</xdr:rowOff>
    </xdr:to>
    <xdr:sp macro="" textlink="">
      <xdr:nvSpPr>
        <xdr:cNvPr id="37" name="ZoneTexte 36">
          <a:extLst>
            <a:ext uri="{FF2B5EF4-FFF2-40B4-BE49-F238E27FC236}">
              <a16:creationId xmlns="" xmlns:a16="http://schemas.microsoft.com/office/drawing/2014/main" id="{00000000-0008-0000-0A00-000025000000}"/>
            </a:ext>
          </a:extLst>
        </xdr:cNvPr>
        <xdr:cNvSpPr txBox="1"/>
      </xdr:nvSpPr>
      <xdr:spPr bwMode="auto">
        <a:xfrm>
          <a:off x="284019" y="57233127"/>
          <a:ext cx="11984398" cy="415633"/>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8. RESPONSABILITE</a:t>
          </a:r>
        </a:p>
      </xdr:txBody>
    </xdr:sp>
    <xdr:clientData/>
  </xdr:twoCellAnchor>
  <xdr:twoCellAnchor editAs="oneCell">
    <xdr:from>
      <xdr:col>0</xdr:col>
      <xdr:colOff>190501</xdr:colOff>
      <xdr:row>19</xdr:row>
      <xdr:rowOff>47625</xdr:rowOff>
    </xdr:from>
    <xdr:to>
      <xdr:col>6</xdr:col>
      <xdr:colOff>1264228</xdr:colOff>
      <xdr:row>54</xdr:row>
      <xdr:rowOff>28908</xdr:rowOff>
    </xdr:to>
    <xdr:pic>
      <xdr:nvPicPr>
        <xdr:cNvPr id="23836" name="Image 40" descr="C:\Users\Clarisse\AppData\Local\Microsoft\Windows\INetCache\Content.Word\iStock_ordi.jpg">
          <a:extLst>
            <a:ext uri="{FF2B5EF4-FFF2-40B4-BE49-F238E27FC236}">
              <a16:creationId xmlns="" xmlns:a16="http://schemas.microsoft.com/office/drawing/2014/main" id="{00000000-0008-0000-0A00-00001C5D0000}"/>
            </a:ext>
          </a:extLst>
        </xdr:cNvPr>
        <xdr:cNvPicPr>
          <a:picLocks noChangeAspect="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90501" y="3926898"/>
          <a:ext cx="11239500" cy="690855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13855</xdr:colOff>
      <xdr:row>274</xdr:row>
      <xdr:rowOff>135072</xdr:rowOff>
    </xdr:from>
    <xdr:to>
      <xdr:col>8</xdr:col>
      <xdr:colOff>0</xdr:colOff>
      <xdr:row>277</xdr:row>
      <xdr:rowOff>17317</xdr:rowOff>
    </xdr:to>
    <xdr:sp macro="" textlink="">
      <xdr:nvSpPr>
        <xdr:cNvPr id="38" name="ZoneTexte 37">
          <a:extLst>
            <a:ext uri="{FF2B5EF4-FFF2-40B4-BE49-F238E27FC236}">
              <a16:creationId xmlns="" xmlns:a16="http://schemas.microsoft.com/office/drawing/2014/main" id="{00000000-0008-0000-0A00-000026000000}"/>
            </a:ext>
          </a:extLst>
        </xdr:cNvPr>
        <xdr:cNvSpPr txBox="1"/>
      </xdr:nvSpPr>
      <xdr:spPr bwMode="auto">
        <a:xfrm>
          <a:off x="273628" y="73183163"/>
          <a:ext cx="13528963" cy="401790"/>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9. ACCEPTATION</a:t>
          </a:r>
        </a:p>
      </xdr:txBody>
    </xdr:sp>
    <xdr:clientData/>
  </xdr:twoCellAnchor>
  <xdr:twoCellAnchor>
    <xdr:from>
      <xdr:col>1</xdr:col>
      <xdr:colOff>12112</xdr:colOff>
      <xdr:row>110</xdr:row>
      <xdr:rowOff>0</xdr:rowOff>
    </xdr:from>
    <xdr:to>
      <xdr:col>9</xdr:col>
      <xdr:colOff>4535</xdr:colOff>
      <xdr:row>112</xdr:row>
      <xdr:rowOff>13854</xdr:rowOff>
    </xdr:to>
    <xdr:sp macro="" textlink="">
      <xdr:nvSpPr>
        <xdr:cNvPr id="39" name="ZoneTexte 38">
          <a:extLst>
            <a:ext uri="{FF2B5EF4-FFF2-40B4-BE49-F238E27FC236}">
              <a16:creationId xmlns="" xmlns:a16="http://schemas.microsoft.com/office/drawing/2014/main" id="{00000000-0008-0000-0A00-000027000000}"/>
            </a:ext>
          </a:extLst>
        </xdr:cNvPr>
        <xdr:cNvSpPr txBox="1"/>
      </xdr:nvSpPr>
      <xdr:spPr bwMode="auto">
        <a:xfrm>
          <a:off x="278812" y="19178157"/>
          <a:ext cx="12146323" cy="419097"/>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1. INTRODUCTION</a:t>
          </a:r>
        </a:p>
      </xdr:txBody>
    </xdr:sp>
    <xdr:clientData/>
  </xdr:twoCellAnchor>
  <xdr:twoCellAnchor editAs="oneCell">
    <xdr:from>
      <xdr:col>7</xdr:col>
      <xdr:colOff>116140</xdr:colOff>
      <xdr:row>11</xdr:row>
      <xdr:rowOff>21949</xdr:rowOff>
    </xdr:from>
    <xdr:to>
      <xdr:col>9</xdr:col>
      <xdr:colOff>51939</xdr:colOff>
      <xdr:row>23</xdr:row>
      <xdr:rowOff>59331</xdr:rowOff>
    </xdr:to>
    <xdr:pic>
      <xdr:nvPicPr>
        <xdr:cNvPr id="23839" name="Image 43" descr="\\Srvw2k3\Commun$\MARKETING\KE-BOITE A OUTILS\PICTO\CMJN\CEE.jpg">
          <a:extLst>
            <a:ext uri="{FF2B5EF4-FFF2-40B4-BE49-F238E27FC236}">
              <a16:creationId xmlns="" xmlns:a16="http://schemas.microsoft.com/office/drawing/2014/main" id="{00000000-0008-0000-0A00-00001F5D0000}"/>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12152276" y="2100131"/>
          <a:ext cx="1702254" cy="2531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225136</xdr:colOff>
      <xdr:row>2</xdr:row>
      <xdr:rowOff>105018</xdr:rowOff>
    </xdr:from>
    <xdr:to>
      <xdr:col>5</xdr:col>
      <xdr:colOff>626546</xdr:colOff>
      <xdr:row>7</xdr:row>
      <xdr:rowOff>170094</xdr:rowOff>
    </xdr:to>
    <xdr:sp macro="" textlink="">
      <xdr:nvSpPr>
        <xdr:cNvPr id="33" name="ZoneTexte 32">
          <a:extLst>
            <a:ext uri="{FF2B5EF4-FFF2-40B4-BE49-F238E27FC236}">
              <a16:creationId xmlns="" xmlns:a16="http://schemas.microsoft.com/office/drawing/2014/main" id="{00000000-0008-0000-0A00-000021000000}"/>
            </a:ext>
          </a:extLst>
        </xdr:cNvPr>
        <xdr:cNvSpPr txBox="1"/>
      </xdr:nvSpPr>
      <xdr:spPr>
        <a:xfrm>
          <a:off x="225136" y="363554"/>
          <a:ext cx="7966981" cy="949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4400" b="1">
              <a:solidFill>
                <a:srgbClr val="4BB708"/>
              </a:solidFill>
              <a:effectLst/>
              <a:latin typeface="Verdana" panose="020B0604030504040204" pitchFamily="34" charset="0"/>
              <a:ea typeface="Verdana" panose="020B0604030504040204" pitchFamily="34" charset="0"/>
              <a:cs typeface="Verdana" panose="020B0604030504040204" pitchFamily="34" charset="0"/>
            </a:rPr>
            <a:t>OFFRE DE</a:t>
          </a:r>
          <a:r>
            <a:rPr lang="fr-FR" sz="4400" b="1" baseline="0">
              <a:solidFill>
                <a:srgbClr val="4BB708"/>
              </a:solidFill>
              <a:effectLst/>
              <a:latin typeface="Verdana" panose="020B0604030504040204" pitchFamily="34" charset="0"/>
              <a:ea typeface="Verdana" panose="020B0604030504040204" pitchFamily="34" charset="0"/>
              <a:cs typeface="Verdana" panose="020B0604030504040204" pitchFamily="34" charset="0"/>
            </a:rPr>
            <a:t> FINANCEMENT</a:t>
          </a:r>
          <a:endParaRPr lang="fr-FR" sz="1050">
            <a:solidFill>
              <a:srgbClr val="4BB708"/>
            </a:solidFill>
          </a:endParaRPr>
        </a:p>
      </xdr:txBody>
    </xdr:sp>
    <xdr:clientData/>
  </xdr:twoCellAnchor>
  <xdr:twoCellAnchor editAs="oneCell">
    <xdr:from>
      <xdr:col>1</xdr:col>
      <xdr:colOff>1322248</xdr:colOff>
      <xdr:row>203</xdr:row>
      <xdr:rowOff>123824</xdr:rowOff>
    </xdr:from>
    <xdr:to>
      <xdr:col>7</xdr:col>
      <xdr:colOff>1097950</xdr:colOff>
      <xdr:row>241</xdr:row>
      <xdr:rowOff>138544</xdr:rowOff>
    </xdr:to>
    <xdr:pic>
      <xdr:nvPicPr>
        <xdr:cNvPr id="23841" name="Image 39">
          <a:extLst>
            <a:ext uri="{FF2B5EF4-FFF2-40B4-BE49-F238E27FC236}">
              <a16:creationId xmlns="" xmlns:a16="http://schemas.microsoft.com/office/drawing/2014/main" id="{00000000-0008-0000-0A00-0000215D0000}"/>
            </a:ext>
          </a:extLst>
        </xdr:cNvPr>
        <xdr:cNvPicPr>
          <a:picLocks noChangeAspect="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1582021" y="56563779"/>
          <a:ext cx="11552065" cy="682076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6</xdr:col>
      <xdr:colOff>1333500</xdr:colOff>
      <xdr:row>94</xdr:row>
      <xdr:rowOff>34636</xdr:rowOff>
    </xdr:from>
    <xdr:to>
      <xdr:col>16</xdr:col>
      <xdr:colOff>727364</xdr:colOff>
      <xdr:row>106</xdr:row>
      <xdr:rowOff>103908</xdr:rowOff>
    </xdr:to>
    <xdr:sp macro="" textlink="">
      <xdr:nvSpPr>
        <xdr:cNvPr id="3" name="ZoneTexte 2">
          <a:extLst>
            <a:ext uri="{FF2B5EF4-FFF2-40B4-BE49-F238E27FC236}">
              <a16:creationId xmlns="" xmlns:a16="http://schemas.microsoft.com/office/drawing/2014/main" id="{00000000-0008-0000-0A00-000003000000}"/>
            </a:ext>
          </a:extLst>
        </xdr:cNvPr>
        <xdr:cNvSpPr txBox="1"/>
      </xdr:nvSpPr>
      <xdr:spPr>
        <a:xfrm>
          <a:off x="11499273" y="19275136"/>
          <a:ext cx="3879273" cy="2632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2000" b="1" spc="400" baseline="0">
              <a:solidFill>
                <a:srgbClr val="4BB708"/>
              </a:solidFill>
            </a:rPr>
            <a:t>DEMANDEUR  :</a:t>
          </a:r>
        </a:p>
        <a:p>
          <a:pPr algn="just"/>
          <a:r>
            <a:rPr lang="fr-FR" sz="2000" b="1" spc="200" baseline="0">
              <a:solidFill>
                <a:srgbClr val="4BB708"/>
              </a:solidFill>
            </a:rPr>
            <a:t>CAPITAL  ENERGY</a:t>
          </a:r>
        </a:p>
        <a:p>
          <a:pPr algn="just"/>
          <a:r>
            <a:rPr lang="fr-FR" sz="2000" b="1" spc="200" baseline="0">
              <a:solidFill>
                <a:srgbClr val="4BB708"/>
              </a:solidFill>
            </a:rPr>
            <a:t>3 SQUARE DESAIX</a:t>
          </a:r>
        </a:p>
        <a:p>
          <a:pPr algn="just"/>
          <a:r>
            <a:rPr lang="fr-FR" sz="2000" b="1" spc="200" baseline="0">
              <a:solidFill>
                <a:srgbClr val="4BB708"/>
              </a:solidFill>
            </a:rPr>
            <a:t>75015         PARIS</a:t>
          </a:r>
          <a:endParaRPr lang="fr-FR" sz="2000" b="1" spc="0" baseline="0">
            <a:solidFill>
              <a:srgbClr val="4BB708"/>
            </a:solidFill>
          </a:endParaRPr>
        </a:p>
        <a:p>
          <a:pPr algn="just"/>
          <a:endParaRPr lang="fr-FR" sz="600" b="1" spc="0" baseline="0">
            <a:solidFill>
              <a:srgbClr val="4BB708"/>
            </a:solidFill>
          </a:endParaRPr>
        </a:p>
        <a:p>
          <a:pPr algn="just"/>
          <a:r>
            <a:rPr lang="fr-FR" sz="2000" b="0" spc="0" baseline="0">
              <a:solidFill>
                <a:srgbClr val="4BB708"/>
              </a:solidFill>
            </a:rPr>
            <a:t>01    77    35    81    00</a:t>
          </a:r>
        </a:p>
        <a:p>
          <a:pPr algn="just"/>
          <a:r>
            <a:rPr lang="fr-FR" sz="1700" b="0" spc="0">
              <a:solidFill>
                <a:srgbClr val="4BB708"/>
              </a:solidFill>
            </a:rPr>
            <a:t>WWW.CAPITALENERGY.FR</a:t>
          </a:r>
        </a:p>
        <a:p>
          <a:pPr algn="just"/>
          <a:r>
            <a:rPr lang="fr-FR" sz="2000" b="0" spc="100" baseline="0">
              <a:solidFill>
                <a:srgbClr val="4BB708"/>
              </a:solidFill>
            </a:rPr>
            <a:t>SIREN : 521 618 579</a:t>
          </a:r>
        </a:p>
      </xdr:txBody>
    </xdr:sp>
    <xdr:clientData/>
  </xdr:twoCellAnchor>
  <xdr:twoCellAnchor>
    <xdr:from>
      <xdr:col>1</xdr:col>
      <xdr:colOff>248</xdr:colOff>
      <xdr:row>331</xdr:row>
      <xdr:rowOff>169719</xdr:rowOff>
    </xdr:from>
    <xdr:to>
      <xdr:col>9</xdr:col>
      <xdr:colOff>217</xdr:colOff>
      <xdr:row>333</xdr:row>
      <xdr:rowOff>173180</xdr:rowOff>
    </xdr:to>
    <xdr:sp macro="" textlink="">
      <xdr:nvSpPr>
        <xdr:cNvPr id="27" name="ZoneTexte 26">
          <a:extLst>
            <a:ext uri="{FF2B5EF4-FFF2-40B4-BE49-F238E27FC236}">
              <a16:creationId xmlns="" xmlns:a16="http://schemas.microsoft.com/office/drawing/2014/main" id="{00000000-0008-0000-0A00-00001B000000}"/>
            </a:ext>
          </a:extLst>
        </xdr:cNvPr>
        <xdr:cNvSpPr txBox="1"/>
      </xdr:nvSpPr>
      <xdr:spPr bwMode="auto">
        <a:xfrm>
          <a:off x="272391" y="73362540"/>
          <a:ext cx="12110326" cy="38446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Annexe 1 : Liste de toutes les opérations pouvant être couvertes par le rôle moteur de Capital Energy</a:t>
          </a:r>
        </a:p>
      </xdr:txBody>
    </xdr:sp>
    <xdr:clientData/>
  </xdr:twoCellAnchor>
  <xdr:twoCellAnchor>
    <xdr:from>
      <xdr:col>1</xdr:col>
      <xdr:colOff>0</xdr:colOff>
      <xdr:row>119</xdr:row>
      <xdr:rowOff>85725</xdr:rowOff>
    </xdr:from>
    <xdr:to>
      <xdr:col>9</xdr:col>
      <xdr:colOff>212</xdr:colOff>
      <xdr:row>121</xdr:row>
      <xdr:rowOff>93176</xdr:rowOff>
    </xdr:to>
    <xdr:sp macro="" textlink="">
      <xdr:nvSpPr>
        <xdr:cNvPr id="28" name="ZoneTexte 27">
          <a:extLst>
            <a:ext uri="{FF2B5EF4-FFF2-40B4-BE49-F238E27FC236}">
              <a16:creationId xmlns="" xmlns:a16="http://schemas.microsoft.com/office/drawing/2014/main" id="{00000000-0008-0000-0A00-00001C000000}"/>
            </a:ext>
          </a:extLst>
        </xdr:cNvPr>
        <xdr:cNvSpPr txBox="1"/>
      </xdr:nvSpPr>
      <xdr:spPr bwMode="auto">
        <a:xfrm>
          <a:off x="266700" y="20974050"/>
          <a:ext cx="12125537" cy="42655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2.</a:t>
          </a:r>
          <a:r>
            <a:rPr lang="fr-FR" sz="2000" b="1" baseline="0">
              <a:solidFill>
                <a:schemeClr val="bg1"/>
              </a:solidFill>
              <a:effectLst/>
              <a:latin typeface="+mn-lt"/>
              <a:ea typeface="+mn-ea"/>
              <a:cs typeface="+mn-cs"/>
            </a:rPr>
            <a:t> DESCRIPTIF TECHNIQUE DE L'OPERATION</a:t>
          </a:r>
          <a:endParaRPr lang="fr-FR" sz="2000" b="1">
            <a:solidFill>
              <a:schemeClr val="bg1"/>
            </a:solidFill>
            <a:effectLst/>
            <a:latin typeface="+mn-lt"/>
            <a:ea typeface="+mn-ea"/>
            <a:cs typeface="+mn-cs"/>
          </a:endParaRPr>
        </a:p>
      </xdr:txBody>
    </xdr:sp>
    <xdr:clientData/>
  </xdr:twoCellAnchor>
  <xdr:twoCellAnchor>
    <xdr:from>
      <xdr:col>1</xdr:col>
      <xdr:colOff>6927</xdr:colOff>
      <xdr:row>132</xdr:row>
      <xdr:rowOff>1729</xdr:rowOff>
    </xdr:from>
    <xdr:to>
      <xdr:col>9</xdr:col>
      <xdr:colOff>7139</xdr:colOff>
      <xdr:row>134</xdr:row>
      <xdr:rowOff>43816</xdr:rowOff>
    </xdr:to>
    <xdr:sp macro="" textlink="">
      <xdr:nvSpPr>
        <xdr:cNvPr id="19" name="ZoneTexte 18">
          <a:extLst>
            <a:ext uri="{FF2B5EF4-FFF2-40B4-BE49-F238E27FC236}">
              <a16:creationId xmlns="" xmlns:a16="http://schemas.microsoft.com/office/drawing/2014/main" id="{00000000-0008-0000-0A00-000013000000}"/>
            </a:ext>
          </a:extLst>
        </xdr:cNvPr>
        <xdr:cNvSpPr txBox="1"/>
      </xdr:nvSpPr>
      <xdr:spPr bwMode="auto">
        <a:xfrm>
          <a:off x="266700" y="25961684"/>
          <a:ext cx="12140257" cy="423087"/>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3.</a:t>
          </a:r>
          <a:r>
            <a:rPr lang="fr-FR" sz="2000" b="1" baseline="0">
              <a:solidFill>
                <a:schemeClr val="bg1"/>
              </a:solidFill>
              <a:effectLst/>
              <a:latin typeface="+mn-lt"/>
              <a:ea typeface="+mn-ea"/>
              <a:cs typeface="+mn-cs"/>
            </a:rPr>
            <a:t> ESTIMATION DU VOLUME DE CEE GENERE PAR L'OPERATION</a:t>
          </a:r>
          <a:endParaRPr lang="fr-FR" sz="2000" b="1">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428625</xdr:colOff>
      <xdr:row>0</xdr:row>
      <xdr:rowOff>85725</xdr:rowOff>
    </xdr:from>
    <xdr:to>
      <xdr:col>2</xdr:col>
      <xdr:colOff>1076325</xdr:colOff>
      <xdr:row>0</xdr:row>
      <xdr:rowOff>742950</xdr:rowOff>
    </xdr:to>
    <xdr:pic>
      <xdr:nvPicPr>
        <xdr:cNvPr id="2693" name="Image 2" descr="LOGO.JPG">
          <a:extLst>
            <a:ext uri="{FF2B5EF4-FFF2-40B4-BE49-F238E27FC236}">
              <a16:creationId xmlns="" xmlns:a16="http://schemas.microsoft.com/office/drawing/2014/main" id="{00000000-0008-0000-0100-0000850A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819275" y="85725"/>
          <a:ext cx="647700" cy="657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846667</xdr:colOff>
      <xdr:row>0</xdr:row>
      <xdr:rowOff>709085</xdr:rowOff>
    </xdr:from>
    <xdr:to>
      <xdr:col>2</xdr:col>
      <xdr:colOff>1587500</xdr:colOff>
      <xdr:row>1</xdr:row>
      <xdr:rowOff>275169</xdr:rowOff>
    </xdr:to>
    <xdr:sp macro="" textlink="">
      <xdr:nvSpPr>
        <xdr:cNvPr id="6" name="ZoneTexte 5">
          <a:extLst>
            <a:ext uri="{FF2B5EF4-FFF2-40B4-BE49-F238E27FC236}">
              <a16:creationId xmlns="" xmlns:a16="http://schemas.microsoft.com/office/drawing/2014/main" id="{00000000-0008-0000-0100-000006000000}"/>
            </a:ext>
          </a:extLst>
        </xdr:cNvPr>
        <xdr:cNvSpPr txBox="1"/>
      </xdr:nvSpPr>
      <xdr:spPr>
        <a:xfrm>
          <a:off x="1291167" y="709085"/>
          <a:ext cx="1682750"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476250</xdr:colOff>
      <xdr:row>0</xdr:row>
      <xdr:rowOff>95250</xdr:rowOff>
    </xdr:from>
    <xdr:to>
      <xdr:col>1</xdr:col>
      <xdr:colOff>1143000</xdr:colOff>
      <xdr:row>0</xdr:row>
      <xdr:rowOff>762000</xdr:rowOff>
    </xdr:to>
    <xdr:pic>
      <xdr:nvPicPr>
        <xdr:cNvPr id="3713" name="Image 1" descr="LOGO.JPG">
          <a:extLst>
            <a:ext uri="{FF2B5EF4-FFF2-40B4-BE49-F238E27FC236}">
              <a16:creationId xmlns="" xmlns:a16="http://schemas.microsoft.com/office/drawing/2014/main" id="{00000000-0008-0000-0200-0000810E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524000" y="95250"/>
          <a:ext cx="666750"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1037167</xdr:colOff>
      <xdr:row>0</xdr:row>
      <xdr:rowOff>709081</xdr:rowOff>
    </xdr:from>
    <xdr:to>
      <xdr:col>1</xdr:col>
      <xdr:colOff>1672167</xdr:colOff>
      <xdr:row>1</xdr:row>
      <xdr:rowOff>211665</xdr:rowOff>
    </xdr:to>
    <xdr:sp macro="" textlink="">
      <xdr:nvSpPr>
        <xdr:cNvPr id="7" name="ZoneTexte 6">
          <a:extLst>
            <a:ext uri="{FF2B5EF4-FFF2-40B4-BE49-F238E27FC236}">
              <a16:creationId xmlns="" xmlns:a16="http://schemas.microsoft.com/office/drawing/2014/main" id="{00000000-0008-0000-0200-000007000000}"/>
            </a:ext>
          </a:extLst>
        </xdr:cNvPr>
        <xdr:cNvSpPr txBox="1"/>
      </xdr:nvSpPr>
      <xdr:spPr>
        <a:xfrm>
          <a:off x="1037167" y="709081"/>
          <a:ext cx="1682750" cy="4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476250</xdr:colOff>
      <xdr:row>0</xdr:row>
      <xdr:rowOff>95250</xdr:rowOff>
    </xdr:from>
    <xdr:to>
      <xdr:col>1</xdr:col>
      <xdr:colOff>1143000</xdr:colOff>
      <xdr:row>0</xdr:row>
      <xdr:rowOff>762000</xdr:rowOff>
    </xdr:to>
    <xdr:pic>
      <xdr:nvPicPr>
        <xdr:cNvPr id="2" name="Image 1" descr="LOGO.JP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524000" y="95250"/>
          <a:ext cx="666750"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1037167</xdr:colOff>
      <xdr:row>0</xdr:row>
      <xdr:rowOff>709081</xdr:rowOff>
    </xdr:from>
    <xdr:to>
      <xdr:col>1</xdr:col>
      <xdr:colOff>1672167</xdr:colOff>
      <xdr:row>1</xdr:row>
      <xdr:rowOff>211665</xdr:rowOff>
    </xdr:to>
    <xdr:sp macro="" textlink="">
      <xdr:nvSpPr>
        <xdr:cNvPr id="3" name="ZoneTexte 2">
          <a:extLst>
            <a:ext uri="{FF2B5EF4-FFF2-40B4-BE49-F238E27FC236}">
              <a16:creationId xmlns="" xmlns:a16="http://schemas.microsoft.com/office/drawing/2014/main" id="{00000000-0008-0000-0300-000003000000}"/>
            </a:ext>
          </a:extLst>
        </xdr:cNvPr>
        <xdr:cNvSpPr txBox="1"/>
      </xdr:nvSpPr>
      <xdr:spPr>
        <a:xfrm>
          <a:off x="1037167" y="709081"/>
          <a:ext cx="1682750" cy="445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498475</xdr:colOff>
      <xdr:row>0</xdr:row>
      <xdr:rowOff>158750</xdr:rowOff>
    </xdr:from>
    <xdr:to>
      <xdr:col>1</xdr:col>
      <xdr:colOff>117475</xdr:colOff>
      <xdr:row>2</xdr:row>
      <xdr:rowOff>52917</xdr:rowOff>
    </xdr:to>
    <xdr:pic>
      <xdr:nvPicPr>
        <xdr:cNvPr id="24613" name="Image 1" descr="LOGO.JPG">
          <a:extLst>
            <a:ext uri="{FF2B5EF4-FFF2-40B4-BE49-F238E27FC236}">
              <a16:creationId xmlns="" xmlns:a16="http://schemas.microsoft.com/office/drawing/2014/main" id="{00000000-0008-0000-0400-0000256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98475" y="158750"/>
          <a:ext cx="666750"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143936</xdr:rowOff>
    </xdr:from>
    <xdr:to>
      <xdr:col>1</xdr:col>
      <xdr:colOff>560917</xdr:colOff>
      <xdr:row>3</xdr:row>
      <xdr:rowOff>412754</xdr:rowOff>
    </xdr:to>
    <xdr:sp macro="" textlink="">
      <xdr:nvSpPr>
        <xdr:cNvPr id="6" name="ZoneTexte 5">
          <a:extLst>
            <a:ext uri="{FF2B5EF4-FFF2-40B4-BE49-F238E27FC236}">
              <a16:creationId xmlns="" xmlns:a16="http://schemas.microsoft.com/office/drawing/2014/main" id="{00000000-0008-0000-0400-000006000000}"/>
            </a:ext>
          </a:extLst>
        </xdr:cNvPr>
        <xdr:cNvSpPr txBox="1"/>
      </xdr:nvSpPr>
      <xdr:spPr>
        <a:xfrm>
          <a:off x="0" y="916519"/>
          <a:ext cx="1608667" cy="459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twoCellAnchor editAs="oneCell">
    <xdr:from>
      <xdr:col>7</xdr:col>
      <xdr:colOff>1</xdr:colOff>
      <xdr:row>17</xdr:row>
      <xdr:rowOff>84666</xdr:rowOff>
    </xdr:from>
    <xdr:to>
      <xdr:col>16</xdr:col>
      <xdr:colOff>571500</xdr:colOff>
      <xdr:row>19</xdr:row>
      <xdr:rowOff>160866</xdr:rowOff>
    </xdr:to>
    <xdr:pic>
      <xdr:nvPicPr>
        <xdr:cNvPr id="7" name="Image 6">
          <a:extLst>
            <a:ext uri="{FF2B5EF4-FFF2-40B4-BE49-F238E27FC236}">
              <a16:creationId xmlns=""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1895668" y="4296833"/>
          <a:ext cx="571500" cy="504825"/>
        </a:xfrm>
        <a:prstGeom prst="rect">
          <a:avLst/>
        </a:prstGeom>
      </xdr:spPr>
    </xdr:pic>
    <xdr:clientData/>
  </xdr:twoCellAnchor>
  <xdr:twoCellAnchor editAs="oneCell">
    <xdr:from>
      <xdr:col>1</xdr:col>
      <xdr:colOff>169333</xdr:colOff>
      <xdr:row>17</xdr:row>
      <xdr:rowOff>63498</xdr:rowOff>
    </xdr:from>
    <xdr:to>
      <xdr:col>1</xdr:col>
      <xdr:colOff>740833</xdr:colOff>
      <xdr:row>19</xdr:row>
      <xdr:rowOff>139698</xdr:rowOff>
    </xdr:to>
    <xdr:pic>
      <xdr:nvPicPr>
        <xdr:cNvPr id="8" name="Image 7">
          <a:extLst>
            <a:ext uri="{FF2B5EF4-FFF2-40B4-BE49-F238E27FC236}">
              <a16:creationId xmlns=""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217083" y="4275665"/>
          <a:ext cx="571500" cy="504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657225</xdr:rowOff>
    </xdr:to>
    <xdr:pic>
      <xdr:nvPicPr>
        <xdr:cNvPr id="14209" name="Image 1" descr="LOGO.JPG">
          <a:extLst>
            <a:ext uri="{FF2B5EF4-FFF2-40B4-BE49-F238E27FC236}">
              <a16:creationId xmlns="" xmlns:a16="http://schemas.microsoft.com/office/drawing/2014/main" id="{00000000-0008-0000-0500-00008137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514475" y="104775"/>
          <a:ext cx="523875" cy="552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638175</xdr:rowOff>
    </xdr:to>
    <xdr:pic>
      <xdr:nvPicPr>
        <xdr:cNvPr id="14210" name="Image 1" descr="LOGO.JPG">
          <a:extLst>
            <a:ext uri="{FF2B5EF4-FFF2-40B4-BE49-F238E27FC236}">
              <a16:creationId xmlns="" xmlns:a16="http://schemas.microsoft.com/office/drawing/2014/main" id="{00000000-0008-0000-0500-00008237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524000" y="95250"/>
          <a:ext cx="54292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762000</xdr:rowOff>
    </xdr:to>
    <xdr:pic>
      <xdr:nvPicPr>
        <xdr:cNvPr id="14211" name="Image 1" descr="LOGO.JPG">
          <a:extLst>
            <a:ext uri="{FF2B5EF4-FFF2-40B4-BE49-F238E27FC236}">
              <a16:creationId xmlns="" xmlns:a16="http://schemas.microsoft.com/office/drawing/2014/main" id="{00000000-0008-0000-0500-00008337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514475" y="95250"/>
          <a:ext cx="666750"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31751</xdr:colOff>
      <xdr:row>0</xdr:row>
      <xdr:rowOff>666750</xdr:rowOff>
    </xdr:from>
    <xdr:to>
      <xdr:col>1</xdr:col>
      <xdr:colOff>1714501</xdr:colOff>
      <xdr:row>3</xdr:row>
      <xdr:rowOff>1059</xdr:rowOff>
    </xdr:to>
    <xdr:sp macro="" textlink="">
      <xdr:nvSpPr>
        <xdr:cNvPr id="6" name="ZoneTexte 5">
          <a:extLst>
            <a:ext uri="{FF2B5EF4-FFF2-40B4-BE49-F238E27FC236}">
              <a16:creationId xmlns="" xmlns:a16="http://schemas.microsoft.com/office/drawing/2014/main" id="{00000000-0008-0000-0500-000006000000}"/>
            </a:ext>
          </a:extLst>
        </xdr:cNvPr>
        <xdr:cNvSpPr txBox="1"/>
      </xdr:nvSpPr>
      <xdr:spPr>
        <a:xfrm>
          <a:off x="1079501" y="666750"/>
          <a:ext cx="1682750" cy="466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657225</xdr:rowOff>
    </xdr:to>
    <xdr:pic>
      <xdr:nvPicPr>
        <xdr:cNvPr id="2" name="Image 1" descr="LOGO.JPG">
          <a:extLst>
            <a:ext uri="{FF2B5EF4-FFF2-40B4-BE49-F238E27FC236}">
              <a16:creationId xmlns="" xmlns:a16="http://schemas.microsoft.com/office/drawing/2014/main" id="{BC58D357-DB3C-4C73-AB56-2AC049F0C98F}"/>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541145" y="104775"/>
          <a:ext cx="523875" cy="552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638175</xdr:rowOff>
    </xdr:to>
    <xdr:pic>
      <xdr:nvPicPr>
        <xdr:cNvPr id="3" name="Image 1" descr="LOGO.JPG">
          <a:extLst>
            <a:ext uri="{FF2B5EF4-FFF2-40B4-BE49-F238E27FC236}">
              <a16:creationId xmlns="" xmlns:a16="http://schemas.microsoft.com/office/drawing/2014/main" id="{1008C0EE-B5A0-429D-90E8-CFC30A597ED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550670" y="95250"/>
          <a:ext cx="54292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762000</xdr:rowOff>
    </xdr:to>
    <xdr:pic>
      <xdr:nvPicPr>
        <xdr:cNvPr id="4" name="Image 1" descr="LOGO.JPG">
          <a:extLst>
            <a:ext uri="{FF2B5EF4-FFF2-40B4-BE49-F238E27FC236}">
              <a16:creationId xmlns="" xmlns:a16="http://schemas.microsoft.com/office/drawing/2014/main" id="{D52A0C13-6F20-4518-ADDB-3E64B19DB69C}"/>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541145" y="95250"/>
          <a:ext cx="666750"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1023937</xdr:colOff>
      <xdr:row>0</xdr:row>
      <xdr:rowOff>666750</xdr:rowOff>
    </xdr:from>
    <xdr:to>
      <xdr:col>1</xdr:col>
      <xdr:colOff>1658937</xdr:colOff>
      <xdr:row>3</xdr:row>
      <xdr:rowOff>2382</xdr:rowOff>
    </xdr:to>
    <xdr:sp macro="" textlink="">
      <xdr:nvSpPr>
        <xdr:cNvPr id="5" name="ZoneTexte 4">
          <a:extLst>
            <a:ext uri="{FF2B5EF4-FFF2-40B4-BE49-F238E27FC236}">
              <a16:creationId xmlns="" xmlns:a16="http://schemas.microsoft.com/office/drawing/2014/main" id="{4BFEF132-1684-43A0-A175-4EFFC3AEF3FD}"/>
            </a:ext>
          </a:extLst>
        </xdr:cNvPr>
        <xdr:cNvSpPr txBox="1"/>
      </xdr:nvSpPr>
      <xdr:spPr>
        <a:xfrm>
          <a:off x="1023937" y="666750"/>
          <a:ext cx="1709420" cy="631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657225</xdr:rowOff>
    </xdr:to>
    <xdr:pic>
      <xdr:nvPicPr>
        <xdr:cNvPr id="25633" name="Image 1" descr="LOGO.JPG">
          <a:extLst>
            <a:ext uri="{FF2B5EF4-FFF2-40B4-BE49-F238E27FC236}">
              <a16:creationId xmlns="" xmlns:a16="http://schemas.microsoft.com/office/drawing/2014/main" id="{00000000-0008-0000-0700-00002164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514475" y="104775"/>
          <a:ext cx="523875" cy="552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638175</xdr:rowOff>
    </xdr:to>
    <xdr:pic>
      <xdr:nvPicPr>
        <xdr:cNvPr id="25634" name="Image 1" descr="LOGO.JPG">
          <a:extLst>
            <a:ext uri="{FF2B5EF4-FFF2-40B4-BE49-F238E27FC236}">
              <a16:creationId xmlns="" xmlns:a16="http://schemas.microsoft.com/office/drawing/2014/main" id="{00000000-0008-0000-0700-00002264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524000" y="95250"/>
          <a:ext cx="54292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762000</xdr:rowOff>
    </xdr:to>
    <xdr:pic>
      <xdr:nvPicPr>
        <xdr:cNvPr id="25635" name="Image 1" descr="LOGO.JPG">
          <a:extLst>
            <a:ext uri="{FF2B5EF4-FFF2-40B4-BE49-F238E27FC236}">
              <a16:creationId xmlns="" xmlns:a16="http://schemas.microsoft.com/office/drawing/2014/main" id="{00000000-0008-0000-0700-00002364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514475" y="95250"/>
          <a:ext cx="666750"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1038225</xdr:colOff>
      <xdr:row>0</xdr:row>
      <xdr:rowOff>733425</xdr:rowOff>
    </xdr:from>
    <xdr:to>
      <xdr:col>1</xdr:col>
      <xdr:colOff>1673225</xdr:colOff>
      <xdr:row>2</xdr:row>
      <xdr:rowOff>44451</xdr:rowOff>
    </xdr:to>
    <xdr:sp macro="" textlink="">
      <xdr:nvSpPr>
        <xdr:cNvPr id="6" name="ZoneTexte 5">
          <a:extLst>
            <a:ext uri="{FF2B5EF4-FFF2-40B4-BE49-F238E27FC236}">
              <a16:creationId xmlns="" xmlns:a16="http://schemas.microsoft.com/office/drawing/2014/main" id="{00000000-0008-0000-0700-000006000000}"/>
            </a:ext>
          </a:extLst>
        </xdr:cNvPr>
        <xdr:cNvSpPr txBox="1"/>
      </xdr:nvSpPr>
      <xdr:spPr>
        <a:xfrm>
          <a:off x="1038225" y="733425"/>
          <a:ext cx="1682750" cy="43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723900</xdr:rowOff>
    </xdr:to>
    <xdr:pic>
      <xdr:nvPicPr>
        <xdr:cNvPr id="26658" name="Image 1" descr="LOGO.JPG">
          <a:extLst>
            <a:ext uri="{FF2B5EF4-FFF2-40B4-BE49-F238E27FC236}">
              <a16:creationId xmlns="" xmlns:a16="http://schemas.microsoft.com/office/drawing/2014/main" id="{00000000-0008-0000-0800-00002268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228725" y="104775"/>
          <a:ext cx="523875" cy="619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704850</xdr:rowOff>
    </xdr:to>
    <xdr:pic>
      <xdr:nvPicPr>
        <xdr:cNvPr id="26659" name="Image 1" descr="LOGO.JPG">
          <a:extLst>
            <a:ext uri="{FF2B5EF4-FFF2-40B4-BE49-F238E27FC236}">
              <a16:creationId xmlns="" xmlns:a16="http://schemas.microsoft.com/office/drawing/2014/main" id="{00000000-0008-0000-0800-00002368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238250" y="95250"/>
          <a:ext cx="542925"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838200</xdr:rowOff>
    </xdr:to>
    <xdr:pic>
      <xdr:nvPicPr>
        <xdr:cNvPr id="26660" name="Image 1" descr="LOGO.JPG">
          <a:extLst>
            <a:ext uri="{FF2B5EF4-FFF2-40B4-BE49-F238E27FC236}">
              <a16:creationId xmlns="" xmlns:a16="http://schemas.microsoft.com/office/drawing/2014/main" id="{00000000-0008-0000-0800-00002468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228725" y="95250"/>
          <a:ext cx="666750"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751416</xdr:colOff>
      <xdr:row>0</xdr:row>
      <xdr:rowOff>793750</xdr:rowOff>
    </xdr:from>
    <xdr:to>
      <xdr:col>1</xdr:col>
      <xdr:colOff>1672166</xdr:colOff>
      <xdr:row>2</xdr:row>
      <xdr:rowOff>63501</xdr:rowOff>
    </xdr:to>
    <xdr:sp macro="" textlink="">
      <xdr:nvSpPr>
        <xdr:cNvPr id="6" name="ZoneTexte 5">
          <a:extLst>
            <a:ext uri="{FF2B5EF4-FFF2-40B4-BE49-F238E27FC236}">
              <a16:creationId xmlns="" xmlns:a16="http://schemas.microsoft.com/office/drawing/2014/main" id="{00000000-0008-0000-0800-000006000000}"/>
            </a:ext>
          </a:extLst>
        </xdr:cNvPr>
        <xdr:cNvSpPr txBox="1"/>
      </xdr:nvSpPr>
      <xdr:spPr>
        <a:xfrm>
          <a:off x="751416" y="793750"/>
          <a:ext cx="1682750" cy="4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o.abdelmalki@capitalenergy.fr" TargetMode="External"/><Relationship Id="rId1" Type="http://schemas.openxmlformats.org/officeDocument/2006/relationships/hyperlink" Target="http://www.capitalenergy.fr/"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atee.fr/sites/default/files/bat-en-103-isolation_d_un_plancher_1.pdf" TargetMode="External"/><Relationship Id="rId13" Type="http://schemas.openxmlformats.org/officeDocument/2006/relationships/hyperlink" Target="http://atee.fr/sites/default/files/bat-th-110-recuperateur_de_chaleur_a_condensation.pdf" TargetMode="External"/><Relationship Id="rId18" Type="http://schemas.openxmlformats.org/officeDocument/2006/relationships/hyperlink" Target="http://atee.fr/sites/default/files/bat-th-121-chauffe_eau_solaire_outre_mer_0.pdf" TargetMode="External"/><Relationship Id="rId3" Type="http://schemas.openxmlformats.org/officeDocument/2006/relationships/hyperlink" Target="http://atee.fr/sites/default/files/bat-eq-124-fermeture_meubles_frigorifiq_de_vente_a_temperature_positive.pdf" TargetMode="External"/><Relationship Id="rId21" Type="http://schemas.openxmlformats.org/officeDocument/2006/relationships/printerSettings" Target="../printerSettings/printerSettings11.bin"/><Relationship Id="rId7" Type="http://schemas.openxmlformats.org/officeDocument/2006/relationships/hyperlink" Target="http://atee.fr/sites/default/files/bat-en-102-isolation_des_murs_0.pdf" TargetMode="External"/><Relationship Id="rId12" Type="http://schemas.openxmlformats.org/officeDocument/2006/relationships/hyperlink" Target="http://atee.fr/sites/default/files/bat-th-104-robinet_thermostatique.pdf" TargetMode="External"/><Relationship Id="rId17" Type="http://schemas.openxmlformats.org/officeDocument/2006/relationships/hyperlink" Target="http://atee.fr/sites/default/files/bat-th-116-system_gestion_techniq_du_batiment_pour_chauffag_et_ecs.pdf" TargetMode="External"/><Relationship Id="rId2" Type="http://schemas.openxmlformats.org/officeDocument/2006/relationships/hyperlink" Target="http://atee.fr/sites/default/files/bat-eq-116-lampe_a_led_de_classe_a_outre_mer.pdf" TargetMode="External"/><Relationship Id="rId16" Type="http://schemas.openxmlformats.org/officeDocument/2006/relationships/hyperlink" Target="http://atee.fr/sites/default/files/bat-th-115-climatiseur_performant_outre_mer_0.pdf" TargetMode="External"/><Relationship Id="rId20" Type="http://schemas.openxmlformats.org/officeDocument/2006/relationships/hyperlink" Target="http://atee.fr/sites/default/files/bat-th-141-pompe_a_chaleur_a_moteur_gaz_type_air-eau.pdf" TargetMode="External"/><Relationship Id="rId1" Type="http://schemas.openxmlformats.org/officeDocument/2006/relationships/hyperlink" Target="http://atee.fr/sites/default/files/bat-eq-116-lampe_a_led_de_classe_a_outre_mer.pdf" TargetMode="External"/><Relationship Id="rId6" Type="http://schemas.openxmlformats.org/officeDocument/2006/relationships/hyperlink" Target="http://atee.fr/sites/default/files/bat-en-101-isolation_de_combles_ou_de_toitures_0.pdf" TargetMode="External"/><Relationship Id="rId11" Type="http://schemas.openxmlformats.org/officeDocument/2006/relationships/hyperlink" Target="http://atee.fr/sites/default/files/bat-th-102-chaudiere_collective_hte_performance_energetique.pdf" TargetMode="External"/><Relationship Id="rId5" Type="http://schemas.openxmlformats.org/officeDocument/2006/relationships/hyperlink" Target="http://atee.fr/sites/default/files/bat-eq-131-conduits_de_lumiere_naturelle.pdf" TargetMode="External"/><Relationship Id="rId15" Type="http://schemas.openxmlformats.org/officeDocument/2006/relationships/hyperlink" Target="http://atee.fr/sites/default/files/bat-th-113-pompe_a_chaleur_type_air_eau_ou_eau_eau_0.pdf" TargetMode="External"/><Relationship Id="rId10" Type="http://schemas.openxmlformats.org/officeDocument/2006/relationships/hyperlink" Target="http://atee.fr/sites/default/files/bat-en-107-isolation_des_toitures_terrasses.pdf" TargetMode="External"/><Relationship Id="rId19" Type="http://schemas.openxmlformats.org/officeDocument/2006/relationships/hyperlink" Target="http://atee.fr/sites/default/files/bat-th-140-pompe_chaleur_absorption_type_air_eau_ou_eau_eau.pdf" TargetMode="External"/><Relationship Id="rId4" Type="http://schemas.openxmlformats.org/officeDocument/2006/relationships/hyperlink" Target="http://atee.fr/sites/default/files/bat-eq-127-luminaire_d_eclairage_general_a_modules_led.pdf" TargetMode="External"/><Relationship Id="rId9" Type="http://schemas.openxmlformats.org/officeDocument/2006/relationships/hyperlink" Target="http://atee.fr/sites/default/files/bat-en-104-fenetre_ou_porte_fenetre_complete_avec_vitrage_isolant_0.pdf" TargetMode="External"/><Relationship Id="rId14" Type="http://schemas.openxmlformats.org/officeDocument/2006/relationships/hyperlink" Target="http://atee.fr/sites/default/files/bat-th-112-systeme_variation_electronique_vitesse_moteur_asynchrone.pdf" TargetMode="External"/><Relationship Id="rId22"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rl.reyfreres@wanadoo.fr"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2"/>
  <dimension ref="B2:B37"/>
  <sheetViews>
    <sheetView showGridLines="0" showRowColHeaders="0" zoomScaleNormal="100" workbookViewId="0">
      <selection activeCell="B7" sqref="B7"/>
    </sheetView>
  </sheetViews>
  <sheetFormatPr baseColWidth="10" defaultRowHeight="15"/>
  <cols>
    <col min="2" max="2" width="101.28515625" customWidth="1"/>
    <col min="8" max="8" width="11.42578125" customWidth="1"/>
  </cols>
  <sheetData>
    <row r="2" spans="2:2" ht="30" customHeight="1"/>
    <row r="7" spans="2:2" ht="40.5" customHeight="1">
      <c r="B7" s="118" t="s">
        <v>46</v>
      </c>
    </row>
    <row r="31" ht="26.25" customHeight="1"/>
    <row r="32" ht="26.25" customHeight="1"/>
    <row r="33" spans="2:2" ht="18.75">
      <c r="B33" s="119" t="s">
        <v>47</v>
      </c>
    </row>
    <row r="34" spans="2:2" ht="30">
      <c r="B34" s="120" t="s">
        <v>233</v>
      </c>
    </row>
    <row r="35" spans="2:2">
      <c r="B35" s="120"/>
    </row>
    <row r="36" spans="2:2" ht="27" customHeight="1">
      <c r="B36" s="120" t="s">
        <v>239</v>
      </c>
    </row>
    <row r="37" spans="2:2" ht="30.75" customHeight="1"/>
  </sheetData>
  <sheetProtection algorithmName="SHA-512" hashValue="MFOrmTxBJ0JUQabjaKyDpwYAUzI9BiG2xjg1Zjf8gQXLjBi2DEohWmk6XwauI1n72XURoc+SjBtgAUdVaVEYsg==" saltValue="5/Y9nVT5BUddpKvDwLqzow==" spinCount="100000" sheet="1" objects="1" scenarios="1" selectLockedCell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Feuil9"/>
  <dimension ref="A1:AW54"/>
  <sheetViews>
    <sheetView showGridLines="0" showRowColHeaders="0" showRuler="0" topLeftCell="A13" zoomScale="80" zoomScaleNormal="80" zoomScaleSheetLayoutView="80" zoomScalePageLayoutView="85" workbookViewId="0">
      <selection activeCell="G39" sqref="G39"/>
    </sheetView>
  </sheetViews>
  <sheetFormatPr baseColWidth="10" defaultRowHeight="15"/>
  <cols>
    <col min="1" max="1" width="17.140625" customWidth="1"/>
    <col min="2" max="2" width="18.42578125" customWidth="1"/>
    <col min="3" max="3" width="13.42578125" customWidth="1"/>
    <col min="4" max="4" width="11.28515625" bestFit="1" customWidth="1"/>
    <col min="5" max="5" width="15.140625" customWidth="1"/>
    <col min="6" max="6" width="18.28515625" customWidth="1"/>
    <col min="7" max="7" width="18.42578125" customWidth="1"/>
    <col min="8" max="8" width="6.42578125" customWidth="1"/>
    <col min="9" max="9" width="75" customWidth="1"/>
    <col min="10" max="10" width="77.7109375" hidden="1" customWidth="1"/>
    <col min="11" max="31" width="14.85546875" hidden="1" customWidth="1"/>
    <col min="32" max="32" width="14" hidden="1" customWidth="1"/>
    <col min="33" max="33" width="13.5703125" hidden="1" customWidth="1"/>
    <col min="34" max="34" width="10.140625" hidden="1" customWidth="1"/>
    <col min="35" max="35" width="13.7109375" hidden="1" customWidth="1"/>
    <col min="36" max="49" width="11.42578125" hidden="1" customWidth="1"/>
    <col min="50" max="50" width="11.42578125" customWidth="1"/>
    <col min="51" max="51" width="1" customWidth="1"/>
    <col min="52" max="56" width="11.42578125" customWidth="1"/>
  </cols>
  <sheetData>
    <row r="1" spans="1:49" ht="17.25" customHeight="1">
      <c r="A1" s="343" t="s">
        <v>23</v>
      </c>
      <c r="B1" s="344"/>
      <c r="C1" s="344"/>
      <c r="D1" s="344"/>
      <c r="E1" s="344"/>
      <c r="F1" s="344"/>
      <c r="G1" s="345"/>
      <c r="H1" s="186"/>
      <c r="I1" s="186"/>
      <c r="J1" s="222"/>
      <c r="K1" s="222"/>
      <c r="L1" s="222"/>
      <c r="M1" s="222"/>
      <c r="AF1" s="17"/>
      <c r="AG1" s="17"/>
      <c r="AH1" s="17"/>
      <c r="AI1" s="17"/>
      <c r="AJ1" s="17"/>
      <c r="AK1" s="17"/>
      <c r="AL1" s="17"/>
      <c r="AM1" s="17"/>
    </row>
    <row r="2" spans="1:49" ht="15.75" customHeight="1">
      <c r="A2" s="346"/>
      <c r="B2" s="347"/>
      <c r="C2" s="347"/>
      <c r="D2" s="347"/>
      <c r="E2" s="347"/>
      <c r="F2" s="347"/>
      <c r="G2" s="348"/>
      <c r="H2" s="186"/>
      <c r="I2" s="186"/>
      <c r="J2" s="222"/>
      <c r="K2" s="222"/>
      <c r="L2" s="222"/>
      <c r="M2" s="222"/>
      <c r="AF2" s="17"/>
      <c r="AG2" s="17"/>
      <c r="AH2" s="17"/>
      <c r="AI2" s="17"/>
      <c r="AJ2" s="17"/>
      <c r="AK2" s="17"/>
      <c r="AL2" s="17"/>
      <c r="AM2" s="17"/>
    </row>
    <row r="3" spans="1:49" ht="10.5" customHeight="1">
      <c r="A3" s="142"/>
      <c r="B3" s="143"/>
      <c r="C3" s="143"/>
      <c r="D3" s="143"/>
      <c r="E3" s="143"/>
      <c r="F3" s="143"/>
      <c r="G3" s="144"/>
      <c r="AF3" s="17"/>
      <c r="AG3" s="17"/>
      <c r="AH3" s="17"/>
      <c r="AI3" s="17"/>
      <c r="AJ3" s="17"/>
      <c r="AK3" s="17"/>
      <c r="AL3" s="17"/>
      <c r="AM3" s="17"/>
    </row>
    <row r="4" spans="1:49" ht="17.25" customHeight="1">
      <c r="A4" s="349" t="s">
        <v>24</v>
      </c>
      <c r="B4" s="350"/>
      <c r="C4" s="351"/>
      <c r="D4" s="351"/>
      <c r="E4" s="351"/>
      <c r="F4" s="351"/>
      <c r="G4" s="352"/>
      <c r="H4" s="191"/>
      <c r="I4" s="191"/>
      <c r="J4" s="191"/>
      <c r="K4" s="191"/>
      <c r="L4" s="191"/>
      <c r="M4" s="191"/>
      <c r="AF4" s="17"/>
      <c r="AG4" s="17"/>
      <c r="AH4" s="17"/>
      <c r="AI4" s="17"/>
      <c r="AJ4" s="17"/>
      <c r="AK4" s="17"/>
      <c r="AL4" s="17"/>
      <c r="AM4" s="17"/>
    </row>
    <row r="5" spans="1:49" ht="18" customHeight="1" thickBot="1">
      <c r="A5" s="353" t="s">
        <v>361</v>
      </c>
      <c r="B5" s="354"/>
      <c r="C5" s="357" t="str">
        <f>IF('Etat des lieux'!E4="","",'Etat des lieux'!E4)</f>
        <v>REY FRERES</v>
      </c>
      <c r="D5" s="358"/>
      <c r="E5" s="358"/>
      <c r="F5" s="358"/>
      <c r="G5" s="359"/>
      <c r="H5" s="192"/>
      <c r="I5" s="228" t="s">
        <v>354</v>
      </c>
      <c r="J5" s="192"/>
      <c r="K5" s="192"/>
      <c r="L5" s="192"/>
      <c r="M5" s="192"/>
      <c r="AF5" s="17"/>
      <c r="AG5" s="17"/>
      <c r="AH5" s="17"/>
      <c r="AI5" s="17"/>
      <c r="AJ5" s="17"/>
      <c r="AK5" s="17"/>
      <c r="AL5" s="17"/>
      <c r="AM5" s="17"/>
    </row>
    <row r="6" spans="1:49" ht="20.45" customHeight="1" thickTop="1">
      <c r="A6" s="355" t="s">
        <v>16</v>
      </c>
      <c r="B6" s="356"/>
      <c r="C6" s="360">
        <f>IF('Etat des lieux'!E8="","",'Etat des lieux'!E8)</f>
        <v>38</v>
      </c>
      <c r="D6" s="361"/>
      <c r="E6" s="361"/>
      <c r="F6" s="361"/>
      <c r="G6" s="362"/>
      <c r="H6" s="192"/>
      <c r="I6" s="378" t="s">
        <v>355</v>
      </c>
      <c r="K6" s="192"/>
      <c r="L6" s="192"/>
      <c r="M6" s="192"/>
      <c r="AF6" s="17"/>
      <c r="AG6" s="17"/>
      <c r="AH6" s="17"/>
      <c r="AI6" s="17"/>
      <c r="AJ6" s="17"/>
      <c r="AK6" s="17"/>
      <c r="AL6" s="17"/>
      <c r="AM6" s="17"/>
    </row>
    <row r="7" spans="1:49" ht="14.45" customHeight="1">
      <c r="A7" s="353" t="s">
        <v>357</v>
      </c>
      <c r="B7" s="354"/>
      <c r="C7" s="366" t="str">
        <f>IF('Etat des lieux'!E13="","",'Etat des lieux'!E13)</f>
        <v>alain balazard</v>
      </c>
      <c r="D7" s="367"/>
      <c r="E7" s="367"/>
      <c r="F7" s="367"/>
      <c r="G7" s="368"/>
      <c r="H7" s="191"/>
      <c r="I7" s="379"/>
      <c r="K7" s="191"/>
      <c r="L7" s="191"/>
      <c r="M7" s="191"/>
      <c r="AF7" s="17"/>
      <c r="AG7" s="17"/>
      <c r="AH7" s="17"/>
      <c r="AI7" s="17"/>
      <c r="AJ7" s="17"/>
      <c r="AK7" s="17"/>
      <c r="AL7" s="17"/>
      <c r="AM7" s="17"/>
    </row>
    <row r="8" spans="1:49" ht="17.45" customHeight="1">
      <c r="A8" s="373" t="s">
        <v>358</v>
      </c>
      <c r="B8" s="374"/>
      <c r="C8" s="375" t="str">
        <f>IF('Etat des lieux'!E14="","",'Etat des lieux'!E14)</f>
        <v>SFACS INDUSTRIE</v>
      </c>
      <c r="D8" s="376"/>
      <c r="E8" s="376"/>
      <c r="F8" s="376"/>
      <c r="G8" s="377"/>
      <c r="H8" s="191"/>
      <c r="I8" s="379" t="s">
        <v>356</v>
      </c>
      <c r="K8" s="191"/>
      <c r="L8" s="191"/>
      <c r="M8" s="191"/>
      <c r="AF8" s="17"/>
      <c r="AG8" s="17"/>
      <c r="AH8" s="17"/>
      <c r="AI8" s="17"/>
      <c r="AJ8" s="17"/>
      <c r="AK8" s="17"/>
      <c r="AL8" s="17"/>
      <c r="AM8" s="17"/>
    </row>
    <row r="9" spans="1:49" ht="20.45" customHeight="1" thickBot="1">
      <c r="A9" s="224" t="s">
        <v>28</v>
      </c>
      <c r="B9" s="225"/>
      <c r="C9" s="225"/>
      <c r="D9" s="225"/>
      <c r="E9" s="225"/>
      <c r="F9" s="226"/>
      <c r="G9" s="227"/>
      <c r="H9" s="145"/>
      <c r="I9" s="380"/>
      <c r="K9" s="145"/>
      <c r="L9" s="145"/>
      <c r="M9" s="145"/>
      <c r="AF9" s="17"/>
      <c r="AG9" s="363" t="str">
        <f>IF(OR(D13&lt;&gt;0,D14&lt;&gt;0,D12&lt;&gt;0),AI12,"")&amp;IF(OR(C32&lt;&gt;0,C33&lt;&gt;0,C34&lt;&gt;0),AI29,"")&amp;IF(OR(D36&lt;&gt;0,D37&lt;&gt;0,D38&lt;&gt;0),AI33,"")&amp;IF(OR(C24&lt;&gt;0,C25&lt;&gt;0,C26&lt;&gt;0),AI21,"")&amp;IF(OR(D28&lt;&gt;0,D29&lt;&gt;0,D30&lt;&gt;0),AI25,"")&amp;IF(OR(D20&lt;&gt;0,D21&lt;&gt;0,D22&lt;&gt;0),AI16,"")&amp;IF(OR(D20&lt;&gt;0,D21&lt;&gt;0,D22&lt;&gt;0),"La facture devra mentionner la mise en place d'un système de récupération de chaleur sur compresseur(s) d'air ainsi que la(es) puissance(s) concernée(s).","")</f>
        <v xml:space="preserve">La puissance du système de VEV installé doit être inférieure ou égale à 3 MW. </v>
      </c>
      <c r="AH9" s="363"/>
      <c r="AI9" s="363"/>
      <c r="AJ9" s="363"/>
      <c r="AK9" s="363"/>
      <c r="AL9" s="363"/>
      <c r="AM9" s="363"/>
      <c r="AN9" s="363"/>
      <c r="AO9" s="363"/>
      <c r="AP9" s="363"/>
      <c r="AQ9" s="363"/>
      <c r="AR9" s="363"/>
      <c r="AS9" s="363"/>
      <c r="AT9" s="363"/>
      <c r="AU9" s="363"/>
      <c r="AV9" s="363"/>
      <c r="AW9" s="363"/>
    </row>
    <row r="10" spans="1:49" ht="15.75" thickTop="1">
      <c r="A10" s="369" t="s">
        <v>29</v>
      </c>
      <c r="B10" s="370"/>
      <c r="C10" s="370"/>
      <c r="D10" s="370"/>
      <c r="E10" s="370"/>
      <c r="F10" s="370"/>
      <c r="G10" s="371"/>
      <c r="H10" s="185"/>
      <c r="I10" s="185"/>
      <c r="J10" s="223"/>
      <c r="K10" s="223"/>
      <c r="L10" s="223"/>
      <c r="M10" s="223"/>
      <c r="AF10" s="17"/>
      <c r="AG10" s="363"/>
      <c r="AH10" s="363"/>
      <c r="AI10" s="363"/>
      <c r="AJ10" s="363"/>
      <c r="AK10" s="363"/>
      <c r="AL10" s="363"/>
      <c r="AM10" s="363"/>
      <c r="AN10" s="363"/>
      <c r="AO10" s="363"/>
      <c r="AP10" s="363"/>
      <c r="AQ10" s="363"/>
      <c r="AR10" s="363"/>
      <c r="AS10" s="363"/>
      <c r="AT10" s="363"/>
      <c r="AU10" s="363"/>
      <c r="AV10" s="363"/>
      <c r="AW10" s="363"/>
    </row>
    <row r="11" spans="1:49" ht="30">
      <c r="A11" s="146" t="s">
        <v>25</v>
      </c>
      <c r="B11" s="147" t="s">
        <v>33</v>
      </c>
      <c r="C11" s="147" t="s">
        <v>34</v>
      </c>
      <c r="D11" s="147" t="s">
        <v>35</v>
      </c>
      <c r="E11" s="147" t="s">
        <v>36</v>
      </c>
      <c r="F11" s="146" t="s">
        <v>32</v>
      </c>
      <c r="G11" s="147" t="s">
        <v>26</v>
      </c>
      <c r="AF11" s="17"/>
      <c r="AG11" s="363"/>
      <c r="AH11" s="363"/>
      <c r="AI11" s="363"/>
      <c r="AJ11" s="363"/>
      <c r="AK11" s="363"/>
      <c r="AL11" s="363"/>
      <c r="AM11" s="363"/>
      <c r="AN11" s="363"/>
      <c r="AO11" s="363"/>
      <c r="AP11" s="363"/>
      <c r="AQ11" s="363"/>
      <c r="AR11" s="363"/>
      <c r="AS11" s="363"/>
      <c r="AT11" s="363"/>
      <c r="AU11" s="363"/>
      <c r="AV11" s="363"/>
      <c r="AW11" s="363"/>
    </row>
    <row r="12" spans="1:49" ht="15.75" thickBot="1">
      <c r="A12" s="372" t="s">
        <v>37</v>
      </c>
      <c r="B12" s="148" t="str">
        <f>'VEV asynchrone'!C7</f>
        <v xml:space="preserve">Air comprimé </v>
      </c>
      <c r="C12" s="149">
        <f>'VEV asynchrone'!C8</f>
        <v>11</v>
      </c>
      <c r="D12" s="150">
        <f>'VEV asynchrone'!C9</f>
        <v>1</v>
      </c>
      <c r="E12" s="200"/>
      <c r="F12" s="151">
        <f>'VEV asynchrone'!C11</f>
        <v>130900</v>
      </c>
      <c r="G12" s="152">
        <f>'VEV asynchrone'!C12</f>
        <v>418.88</v>
      </c>
      <c r="AF12" s="17"/>
      <c r="AG12" s="320" t="s">
        <v>37</v>
      </c>
      <c r="AH12" s="32" t="s">
        <v>0</v>
      </c>
      <c r="AI12" s="364" t="str">
        <f>'Etat des lieux'!D19</f>
        <v xml:space="preserve">La puissance du système de VEV installé doit être inférieure ou égale à 3 MW. </v>
      </c>
      <c r="AJ12" s="364"/>
      <c r="AK12" s="365"/>
      <c r="AL12" s="17"/>
      <c r="AM12" s="17"/>
    </row>
    <row r="13" spans="1:49" ht="15.75" customHeight="1" thickBot="1">
      <c r="A13" s="372"/>
      <c r="B13" s="148" t="str">
        <f>'VEV asynchrone'!D7</f>
        <v>Indiquez…</v>
      </c>
      <c r="C13" s="149">
        <f>'VEV asynchrone'!D8</f>
        <v>0</v>
      </c>
      <c r="D13" s="150">
        <f>'VEV asynchrone'!D9</f>
        <v>0</v>
      </c>
      <c r="E13" s="201"/>
      <c r="F13" s="151" t="str">
        <f>'VEV asynchrone'!D11</f>
        <v/>
      </c>
      <c r="G13" s="152" t="str">
        <f>'VEV asynchrone'!D12</f>
        <v/>
      </c>
      <c r="AF13" s="17"/>
      <c r="AG13" s="320"/>
      <c r="AH13" s="32" t="s">
        <v>0</v>
      </c>
      <c r="AI13" s="364" t="str">
        <f>'Etat des lieux'!D19</f>
        <v xml:space="preserve">La puissance du système de VEV installé doit être inférieure ou égale à 3 MW. </v>
      </c>
      <c r="AJ13" s="364"/>
      <c r="AK13" s="365"/>
      <c r="AL13" s="17"/>
      <c r="AM13" s="17" t="s">
        <v>37</v>
      </c>
      <c r="AO13" s="31"/>
      <c r="AP13" s="31"/>
      <c r="AQ13" s="363" t="str">
        <f>IF(OR(D13&lt;&gt;0,D14&lt;&gt;0,D12&lt;&gt;0),AM13,"")&amp;IF(OR(D20&lt;&gt;0,D21&lt;&gt;0,D22&lt;&gt;0),AM14,"")&amp;IF(OR(C32&lt;&gt;0,C33&lt;&gt;0,C34&lt;&gt;0),AM15,"")&amp;IF(OR(D36&lt;&gt;0,D37&lt;&gt;0,D38&lt;&gt;0),AM16,"")&amp;IF(OR(C24&lt;&gt;0,C25&lt;&gt;0,C26&lt;&gt;0),AM18,"")&amp;IF(OR(D28&lt;&gt;0,D29&lt;&gt;0,D30&lt;&gt;0),AM20,"")</f>
        <v>Système de VEV sur un moteur asynchrone</v>
      </c>
      <c r="AR13" s="363"/>
      <c r="AS13" s="363"/>
      <c r="AT13" s="363"/>
      <c r="AU13" s="363"/>
      <c r="AV13" s="363"/>
      <c r="AW13" s="363"/>
    </row>
    <row r="14" spans="1:49" ht="16.5" customHeight="1" thickBot="1">
      <c r="A14" s="372"/>
      <c r="B14" s="148" t="str">
        <f>'VEV asynchrone'!E7</f>
        <v>Indiquez…</v>
      </c>
      <c r="C14" s="149">
        <f>'VEV asynchrone'!E8</f>
        <v>0</v>
      </c>
      <c r="D14" s="150">
        <f>'VEV asynchrone'!E9</f>
        <v>0</v>
      </c>
      <c r="E14" s="201"/>
      <c r="F14" s="151" t="str">
        <f>'VEV asynchrone'!E11</f>
        <v/>
      </c>
      <c r="G14" s="152" t="str">
        <f>'VEV asynchrone'!E12</f>
        <v/>
      </c>
      <c r="AF14" s="17"/>
      <c r="AG14" s="320"/>
      <c r="AH14" s="32" t="s">
        <v>0</v>
      </c>
      <c r="AI14" s="364" t="str">
        <f>'Etat des lieux'!D19</f>
        <v xml:space="preserve">La puissance du système de VEV installé doit être inférieure ou égale à 3 MW. </v>
      </c>
      <c r="AJ14" s="364"/>
      <c r="AK14" s="365"/>
      <c r="AL14" s="17"/>
      <c r="AM14" s="50" t="s">
        <v>116</v>
      </c>
      <c r="AO14" s="45"/>
      <c r="AP14" s="46"/>
      <c r="AQ14" s="363"/>
      <c r="AR14" s="363"/>
      <c r="AS14" s="363"/>
      <c r="AT14" s="363"/>
      <c r="AU14" s="363"/>
      <c r="AV14" s="363"/>
      <c r="AW14" s="363"/>
    </row>
    <row r="15" spans="1:49" ht="19.5" customHeight="1">
      <c r="A15" s="153"/>
      <c r="B15" s="153"/>
      <c r="C15" s="147"/>
      <c r="D15" s="154"/>
      <c r="E15" s="154"/>
      <c r="F15" s="155"/>
      <c r="G15" s="155"/>
      <c r="AF15" s="17"/>
      <c r="AG15" s="17"/>
      <c r="AH15" s="33"/>
      <c r="AI15" s="17"/>
      <c r="AJ15" s="17"/>
      <c r="AK15" s="17"/>
      <c r="AL15" s="17"/>
      <c r="AM15" s="50" t="s">
        <v>117</v>
      </c>
      <c r="AO15" s="47"/>
      <c r="AP15" s="48"/>
      <c r="AQ15" s="363"/>
      <c r="AR15" s="363"/>
      <c r="AS15" s="363"/>
      <c r="AT15" s="363"/>
      <c r="AU15" s="363"/>
      <c r="AV15" s="363"/>
      <c r="AW15" s="363"/>
    </row>
    <row r="16" spans="1:49" ht="26.25" customHeight="1">
      <c r="A16" s="321" t="s">
        <v>244</v>
      </c>
      <c r="B16" s="202"/>
      <c r="C16" s="157">
        <f>'Compresseur basse pression'!C7</f>
        <v>0</v>
      </c>
      <c r="D16" s="158">
        <f>'Compresseur basse pression'!C8</f>
        <v>0</v>
      </c>
      <c r="E16" s="201"/>
      <c r="F16" s="151" t="str">
        <f>'Compresseur basse pression'!C10</f>
        <v/>
      </c>
      <c r="G16" s="152" t="str">
        <f>'Compresseur basse pression'!C11</f>
        <v/>
      </c>
      <c r="AF16" s="17"/>
      <c r="AG16" s="320" t="s">
        <v>45</v>
      </c>
      <c r="AH16" s="35" t="s">
        <v>1</v>
      </c>
      <c r="AI16" s="316" t="str">
        <f>'Etat des lieux'!D23</f>
        <v xml:space="preserve">La chaleur récupérée doit être valorisée en procédé industriel ou en chauffage de locaux ou production d'ECS. </v>
      </c>
      <c r="AJ16" s="316"/>
      <c r="AK16" s="316"/>
      <c r="AL16" s="17"/>
      <c r="AM16" s="50" t="s">
        <v>118</v>
      </c>
      <c r="AO16" s="47"/>
      <c r="AP16" s="49"/>
      <c r="AQ16" s="363"/>
      <c r="AR16" s="363"/>
      <c r="AS16" s="363"/>
      <c r="AT16" s="363"/>
      <c r="AU16" s="363"/>
      <c r="AV16" s="363"/>
      <c r="AW16" s="363"/>
    </row>
    <row r="17" spans="1:49" ht="26.25" customHeight="1">
      <c r="A17" s="322"/>
      <c r="B17" s="202"/>
      <c r="C17" s="157">
        <f>'Compresseur basse pression'!D7</f>
        <v>0</v>
      </c>
      <c r="D17" s="158">
        <f>'Compresseur basse pression'!D8</f>
        <v>0</v>
      </c>
      <c r="E17" s="201"/>
      <c r="F17" s="151" t="str">
        <f>'Compresseur basse pression'!D10</f>
        <v/>
      </c>
      <c r="G17" s="152" t="str">
        <f>'Compresseur basse pression'!D11</f>
        <v/>
      </c>
      <c r="AF17" s="17"/>
      <c r="AG17" s="320"/>
      <c r="AH17" s="35" t="s">
        <v>1</v>
      </c>
      <c r="AI17" s="316" t="str">
        <f>'Etat des lieux'!D23</f>
        <v xml:space="preserve">La chaleur récupérée doit être valorisée en procédé industriel ou en chauffage de locaux ou production d'ECS. </v>
      </c>
      <c r="AJ17" s="316"/>
      <c r="AK17" s="316"/>
      <c r="AL17" s="17"/>
      <c r="AM17" s="50"/>
      <c r="AO17" s="47"/>
      <c r="AP17" s="48"/>
      <c r="AQ17" s="363"/>
      <c r="AR17" s="363"/>
      <c r="AS17" s="363"/>
      <c r="AT17" s="363"/>
      <c r="AU17" s="363"/>
      <c r="AV17" s="363"/>
      <c r="AW17" s="363"/>
    </row>
    <row r="18" spans="1:49" ht="26.25" customHeight="1">
      <c r="A18" s="323"/>
      <c r="B18" s="202"/>
      <c r="C18" s="157">
        <f>'Compresseur basse pression'!E7</f>
        <v>0</v>
      </c>
      <c r="D18" s="158">
        <f>'Compresseur basse pression'!E8</f>
        <v>0</v>
      </c>
      <c r="E18" s="201"/>
      <c r="F18" s="151" t="str">
        <f>'Compresseur basse pression'!E10</f>
        <v/>
      </c>
      <c r="G18" s="152" t="str">
        <f>'Compresseur basse pression'!E11</f>
        <v/>
      </c>
      <c r="AF18" s="17"/>
      <c r="AG18" s="320"/>
      <c r="AH18" s="35" t="s">
        <v>1</v>
      </c>
      <c r="AI18" s="316" t="str">
        <f>'Etat des lieux'!D23</f>
        <v xml:space="preserve">La chaleur récupérée doit être valorisée en procédé industriel ou en chauffage de locaux ou production d'ECS. </v>
      </c>
      <c r="AJ18" s="316"/>
      <c r="AK18" s="316"/>
      <c r="AL18" s="17"/>
      <c r="AM18" s="50" t="s">
        <v>137</v>
      </c>
      <c r="AO18" s="47"/>
      <c r="AP18" s="49"/>
      <c r="AQ18" s="363"/>
      <c r="AR18" s="363"/>
      <c r="AS18" s="363"/>
      <c r="AT18" s="363"/>
      <c r="AU18" s="363"/>
      <c r="AV18" s="363"/>
      <c r="AW18" s="363"/>
    </row>
    <row r="19" spans="1:49" ht="18.75" customHeight="1">
      <c r="A19" s="153"/>
      <c r="B19" s="153"/>
      <c r="C19" s="147"/>
      <c r="D19" s="154"/>
      <c r="E19" s="154"/>
      <c r="F19" s="155"/>
      <c r="G19" s="155"/>
      <c r="AF19" s="17"/>
      <c r="AG19" s="55"/>
      <c r="AH19" s="56"/>
      <c r="AI19" s="57"/>
      <c r="AJ19" s="57"/>
      <c r="AK19" s="57"/>
      <c r="AL19" s="17"/>
      <c r="AM19" s="50"/>
      <c r="AO19" s="47"/>
      <c r="AP19" s="49"/>
      <c r="AQ19" s="198"/>
      <c r="AR19" s="198"/>
      <c r="AS19" s="198"/>
      <c r="AT19" s="198"/>
      <c r="AU19" s="198"/>
      <c r="AV19" s="198"/>
      <c r="AW19" s="198"/>
    </row>
    <row r="20" spans="1:49" ht="27.75" customHeight="1">
      <c r="A20" s="321" t="s">
        <v>45</v>
      </c>
      <c r="B20" s="156" t="str">
        <f>Récupérateur!D5</f>
        <v>Indiquez…</v>
      </c>
      <c r="C20" s="157">
        <f>Récupérateur!D7</f>
        <v>0</v>
      </c>
      <c r="D20" s="158">
        <f>Récupérateur!D8</f>
        <v>0</v>
      </c>
      <c r="E20" s="159" t="str">
        <f>Récupérateur!D6</f>
        <v>Indiquez…</v>
      </c>
      <c r="F20" s="151" t="str">
        <f>Récupérateur!D10</f>
        <v/>
      </c>
      <c r="G20" s="152" t="str">
        <f>Récupérateur!D11</f>
        <v/>
      </c>
      <c r="AF20" s="17"/>
      <c r="AG20" s="55"/>
      <c r="AH20" s="56"/>
      <c r="AI20" s="57"/>
      <c r="AJ20" s="57"/>
      <c r="AK20" s="57"/>
      <c r="AL20" s="17"/>
      <c r="AM20" s="50" t="s">
        <v>353</v>
      </c>
      <c r="AO20" s="47"/>
      <c r="AP20" s="49"/>
      <c r="AQ20" s="53"/>
      <c r="AR20" s="53"/>
      <c r="AS20" s="53"/>
      <c r="AT20" s="53"/>
      <c r="AU20" s="53"/>
      <c r="AV20" s="53"/>
      <c r="AW20" s="53"/>
    </row>
    <row r="21" spans="1:49" ht="27.75" customHeight="1">
      <c r="A21" s="322"/>
      <c r="B21" s="156" t="str">
        <f>Récupérateur!E5</f>
        <v>Indiquez…</v>
      </c>
      <c r="C21" s="157">
        <f>Récupérateur!E7</f>
        <v>0</v>
      </c>
      <c r="D21" s="158">
        <f>Récupérateur!E8</f>
        <v>0</v>
      </c>
      <c r="E21" s="159" t="str">
        <f>Récupérateur!E6</f>
        <v>Indiquez…</v>
      </c>
      <c r="F21" s="151" t="str">
        <f>Récupérateur!E10</f>
        <v/>
      </c>
      <c r="G21" s="152" t="str">
        <f>Récupérateur!E11</f>
        <v/>
      </c>
      <c r="AF21" s="17"/>
      <c r="AG21" s="317" t="s">
        <v>128</v>
      </c>
      <c r="AH21" s="35"/>
      <c r="AI21" s="316" t="str">
        <f>'Etat des lieux'!D27</f>
        <v xml:space="preserve">La chaleur nécessaire à la régénération du sécheur doit être issue de résistances électriques ou bien d'un compresseur d'air ou d'un procédé industriel. </v>
      </c>
      <c r="AJ21" s="316"/>
      <c r="AK21" s="316"/>
      <c r="AL21" s="17"/>
      <c r="AM21" s="17"/>
      <c r="AO21" s="47"/>
      <c r="AP21" s="49"/>
      <c r="AQ21" s="53"/>
      <c r="AR21" s="53"/>
      <c r="AS21" s="53"/>
      <c r="AT21" s="53"/>
      <c r="AU21" s="53"/>
      <c r="AV21" s="53"/>
      <c r="AW21" s="53"/>
    </row>
    <row r="22" spans="1:49" ht="27.75" customHeight="1">
      <c r="A22" s="323"/>
      <c r="B22" s="160" t="str">
        <f>Récupérateur!F5</f>
        <v>Indiquez…</v>
      </c>
      <c r="C22" s="157">
        <f>Récupérateur!F7</f>
        <v>0</v>
      </c>
      <c r="D22" s="158">
        <f>Récupérateur!F8</f>
        <v>0</v>
      </c>
      <c r="E22" s="159" t="str">
        <f>Récupérateur!F6</f>
        <v>Indiquez…</v>
      </c>
      <c r="F22" s="151" t="str">
        <f>Récupérateur!F10</f>
        <v/>
      </c>
      <c r="G22" s="152" t="str">
        <f>Récupérateur!F11</f>
        <v/>
      </c>
      <c r="AF22" s="17"/>
      <c r="AG22" s="318"/>
      <c r="AH22" s="35"/>
      <c r="AI22" s="316"/>
      <c r="AJ22" s="316"/>
      <c r="AK22" s="316"/>
      <c r="AL22" s="17"/>
      <c r="AM22" s="17"/>
      <c r="AO22" s="47"/>
      <c r="AP22" s="49"/>
      <c r="AQ22" s="53"/>
      <c r="AR22" s="53"/>
      <c r="AS22" s="53"/>
      <c r="AT22" s="53"/>
      <c r="AU22" s="53"/>
      <c r="AV22" s="53"/>
      <c r="AW22" s="53"/>
    </row>
    <row r="23" spans="1:49" ht="24" customHeight="1">
      <c r="A23" s="153"/>
      <c r="B23" s="153"/>
      <c r="C23" s="147"/>
      <c r="D23" s="147"/>
      <c r="E23" s="154"/>
      <c r="F23" s="154"/>
      <c r="G23" s="154"/>
      <c r="AF23" s="17"/>
      <c r="AG23" s="319"/>
      <c r="AH23" s="35"/>
      <c r="AI23" s="316"/>
      <c r="AJ23" s="316"/>
      <c r="AK23" s="316"/>
      <c r="AL23" s="17"/>
      <c r="AM23" s="17"/>
      <c r="AO23" s="47"/>
      <c r="AP23" s="49"/>
      <c r="AQ23" s="53"/>
      <c r="AR23" s="58" t="s">
        <v>129</v>
      </c>
      <c r="AS23" s="53"/>
      <c r="AT23" s="53"/>
      <c r="AU23" s="53"/>
      <c r="AV23" s="53"/>
      <c r="AW23" s="53"/>
    </row>
    <row r="24" spans="1:49" ht="27.75" customHeight="1">
      <c r="A24" s="321" t="s">
        <v>139</v>
      </c>
      <c r="B24" s="330"/>
      <c r="C24" s="157">
        <f>'Sécheur d''air'!C8</f>
        <v>0</v>
      </c>
      <c r="D24" s="333"/>
      <c r="E24" s="159" t="str">
        <f>'Sécheur d''air'!C7</f>
        <v>Indiquez…</v>
      </c>
      <c r="F24" s="151" t="str">
        <f>'Sécheur d''air'!C10</f>
        <v/>
      </c>
      <c r="G24" s="152" t="str">
        <f>+'Sécheur d''air'!C11</f>
        <v/>
      </c>
      <c r="AF24" s="17"/>
      <c r="AG24" s="55"/>
      <c r="AH24" s="56"/>
      <c r="AI24" s="57"/>
      <c r="AJ24" s="57"/>
      <c r="AK24" s="57"/>
      <c r="AL24" s="17"/>
      <c r="AM24" s="17"/>
      <c r="AO24" s="47"/>
      <c r="AP24" s="49"/>
      <c r="AQ24" s="53"/>
      <c r="AR24" s="53"/>
      <c r="AS24" s="53"/>
      <c r="AT24" s="53"/>
      <c r="AU24" s="53"/>
      <c r="AV24" s="53"/>
      <c r="AW24" s="53"/>
    </row>
    <row r="25" spans="1:49" ht="27.75" customHeight="1">
      <c r="A25" s="322"/>
      <c r="B25" s="331"/>
      <c r="C25" s="157">
        <f>'Sécheur d''air'!D8</f>
        <v>0</v>
      </c>
      <c r="D25" s="334"/>
      <c r="E25" s="159" t="str">
        <f>'Sécheur d''air'!D7</f>
        <v>Indiquez…</v>
      </c>
      <c r="F25" s="151" t="str">
        <f>'Sécheur d''air'!D10</f>
        <v/>
      </c>
      <c r="G25" s="152" t="str">
        <f>+'Sécheur d''air'!D11</f>
        <v/>
      </c>
      <c r="I25" s="193"/>
      <c r="J25" s="193"/>
      <c r="K25" s="193"/>
      <c r="L25" s="193"/>
      <c r="M25" s="193"/>
      <c r="AF25" s="17"/>
      <c r="AG25" s="317" t="s">
        <v>344</v>
      </c>
      <c r="AH25" s="35"/>
      <c r="AI25" s="316" t="str">
        <f>'Etat des lieux'!D29</f>
        <v xml:space="preserve">La puissance nominale du moteur IE4 doit être supérieure ou égale à 0,12 kW et inférieure ou égale à 1 000 kW. </v>
      </c>
      <c r="AJ25" s="316"/>
      <c r="AK25" s="316"/>
      <c r="AL25" s="17"/>
      <c r="AM25" s="17"/>
      <c r="AO25" s="47"/>
      <c r="AP25" s="49"/>
      <c r="AQ25" s="53"/>
      <c r="AR25" s="53"/>
      <c r="AS25" s="53"/>
      <c r="AT25" s="53"/>
      <c r="AU25" s="53"/>
      <c r="AV25" s="53"/>
      <c r="AW25" s="53"/>
    </row>
    <row r="26" spans="1:49" ht="27.75" customHeight="1">
      <c r="A26" s="323"/>
      <c r="B26" s="332"/>
      <c r="C26" s="157">
        <f>'Sécheur d''air'!E8</f>
        <v>0</v>
      </c>
      <c r="D26" s="335"/>
      <c r="E26" s="159" t="str">
        <f>'Sécheur d''air'!E7</f>
        <v>Indiquez…</v>
      </c>
      <c r="F26" s="151" t="str">
        <f>'Sécheur d''air'!E10</f>
        <v/>
      </c>
      <c r="G26" s="152" t="str">
        <f>+'Sécheur d''air'!E11</f>
        <v/>
      </c>
      <c r="I26" s="193"/>
      <c r="J26" s="193"/>
      <c r="K26" s="193"/>
      <c r="L26" s="193"/>
      <c r="M26" s="193"/>
      <c r="AF26" s="17"/>
      <c r="AG26" s="318"/>
      <c r="AH26" s="35"/>
      <c r="AI26" s="316"/>
      <c r="AJ26" s="316"/>
      <c r="AK26" s="316"/>
      <c r="AL26" s="17"/>
      <c r="AM26" s="17"/>
      <c r="AO26" s="47"/>
      <c r="AP26" s="49"/>
      <c r="AQ26" s="53"/>
      <c r="AR26" s="53"/>
      <c r="AS26" s="53"/>
      <c r="AT26" s="53"/>
      <c r="AU26" s="53"/>
      <c r="AV26" s="53"/>
      <c r="AW26" s="53"/>
    </row>
    <row r="27" spans="1:49" ht="15.75">
      <c r="A27" s="161"/>
      <c r="B27" s="147"/>
      <c r="C27" s="147"/>
      <c r="D27" s="147"/>
      <c r="E27" s="147"/>
      <c r="F27" s="154"/>
      <c r="G27" s="154"/>
      <c r="AF27" s="17"/>
      <c r="AG27" s="319"/>
      <c r="AH27" s="35"/>
      <c r="AI27" s="316"/>
      <c r="AJ27" s="316"/>
      <c r="AK27" s="316"/>
      <c r="AL27" s="17"/>
      <c r="AM27" s="17"/>
      <c r="AO27" s="47"/>
      <c r="AP27" s="49"/>
      <c r="AQ27" s="53"/>
      <c r="AR27" s="53"/>
      <c r="AS27" s="53"/>
      <c r="AT27" s="53"/>
      <c r="AU27" s="53"/>
      <c r="AV27" s="53"/>
      <c r="AW27" s="53"/>
    </row>
    <row r="28" spans="1:49" ht="16.5" customHeight="1">
      <c r="A28" s="321" t="s">
        <v>344</v>
      </c>
      <c r="B28" s="330"/>
      <c r="C28" s="157">
        <f>'Moteur IE4'!C7</f>
        <v>0</v>
      </c>
      <c r="D28" s="158">
        <f>'Moteur IE4'!C8</f>
        <v>0</v>
      </c>
      <c r="E28" s="203"/>
      <c r="F28" s="151" t="str">
        <f>'Moteur IE4'!C10</f>
        <v/>
      </c>
      <c r="G28" s="152" t="str">
        <f>'Moteur IE4'!C11</f>
        <v/>
      </c>
      <c r="AF28" s="17"/>
      <c r="AG28" s="17"/>
      <c r="AH28" s="33"/>
      <c r="AI28" s="17"/>
      <c r="AJ28" s="17"/>
      <c r="AK28" s="17"/>
      <c r="AL28" s="17"/>
      <c r="AM28" s="17"/>
      <c r="AO28" s="45"/>
      <c r="AP28" s="48"/>
      <c r="AQ28" s="48"/>
      <c r="AR28" s="48"/>
      <c r="AS28" s="31"/>
    </row>
    <row r="29" spans="1:49" ht="15" customHeight="1">
      <c r="A29" s="322"/>
      <c r="B29" s="331"/>
      <c r="C29" s="157">
        <f>'Moteur IE4'!D7</f>
        <v>0</v>
      </c>
      <c r="D29" s="158">
        <f>'Moteur IE4'!D8</f>
        <v>0</v>
      </c>
      <c r="E29" s="203"/>
      <c r="F29" s="151" t="str">
        <f>'Moteur IE4'!D10</f>
        <v/>
      </c>
      <c r="G29" s="152" t="str">
        <f>'Moteur IE4'!D11</f>
        <v/>
      </c>
      <c r="AF29" s="17"/>
      <c r="AG29" s="320" t="s">
        <v>73</v>
      </c>
      <c r="AH29" s="35" t="s">
        <v>55</v>
      </c>
      <c r="AI29" s="316" t="str">
        <f>'Etat des lieux'!D25</f>
        <v xml:space="preserve">L'installation d'un séquenceur électronique avec ou sans option d'optimisation d'énergie doit permettre le pilotage d'une centrale de production d'air comprimé. </v>
      </c>
      <c r="AJ29" s="316"/>
      <c r="AK29" s="316"/>
      <c r="AL29" s="17"/>
      <c r="AM29" s="17"/>
      <c r="AO29" s="45"/>
      <c r="AP29" s="49"/>
      <c r="AQ29" s="49"/>
      <c r="AR29" s="49"/>
      <c r="AS29" s="31"/>
    </row>
    <row r="30" spans="1:49" ht="15.75" customHeight="1">
      <c r="A30" s="323"/>
      <c r="B30" s="332"/>
      <c r="C30" s="157">
        <f>'Moteur IE4'!E7</f>
        <v>0</v>
      </c>
      <c r="D30" s="158">
        <f>'Moteur IE4'!E8</f>
        <v>0</v>
      </c>
      <c r="E30" s="203"/>
      <c r="F30" s="151" t="str">
        <f>'Moteur IE4'!E10</f>
        <v/>
      </c>
      <c r="G30" s="152" t="str">
        <f>'Moteur IE4'!E11</f>
        <v/>
      </c>
      <c r="AF30" s="17"/>
      <c r="AG30" s="320"/>
      <c r="AH30" s="35" t="s">
        <v>55</v>
      </c>
      <c r="AI30" s="316" t="str">
        <f>'Etat des lieux'!D25</f>
        <v xml:space="preserve">L'installation d'un séquenceur électronique avec ou sans option d'optimisation d'énergie doit permettre le pilotage d'une centrale de production d'air comprimé. </v>
      </c>
      <c r="AJ30" s="316"/>
      <c r="AK30" s="316"/>
      <c r="AL30" s="17"/>
      <c r="AO30" s="31"/>
      <c r="AP30" s="31"/>
      <c r="AQ30" s="31"/>
      <c r="AR30" s="31"/>
      <c r="AS30" s="31"/>
    </row>
    <row r="31" spans="1:49" ht="18" customHeight="1">
      <c r="A31" s="153"/>
      <c r="B31" s="147"/>
      <c r="C31" s="147"/>
      <c r="D31" s="147"/>
      <c r="E31" s="147"/>
      <c r="F31" s="154"/>
      <c r="G31" s="154"/>
      <c r="AF31" s="17"/>
      <c r="AG31" s="320"/>
      <c r="AH31" s="35" t="s">
        <v>55</v>
      </c>
      <c r="AI31" s="316" t="str">
        <f>'Etat des lieux'!D25</f>
        <v xml:space="preserve">L'installation d'un séquenceur électronique avec ou sans option d'optimisation d'énergie doit permettre le pilotage d'une centrale de production d'air comprimé. </v>
      </c>
      <c r="AJ31" s="316"/>
      <c r="AK31" s="316"/>
      <c r="AL31" s="17"/>
      <c r="AM31" s="17"/>
      <c r="AO31" s="31"/>
      <c r="AP31" s="31"/>
      <c r="AQ31" s="31"/>
      <c r="AR31" s="31"/>
      <c r="AS31" s="31"/>
    </row>
    <row r="32" spans="1:49" ht="18" customHeight="1">
      <c r="A32" s="321" t="s">
        <v>73</v>
      </c>
      <c r="B32" s="162" t="str">
        <f>Séquenceur!C7</f>
        <v>Indiquez…</v>
      </c>
      <c r="C32" s="162">
        <f>Séquenceur!C8</f>
        <v>0</v>
      </c>
      <c r="D32" s="162">
        <f>Séquenceur!C9</f>
        <v>0</v>
      </c>
      <c r="E32" s="203"/>
      <c r="F32" s="163" t="str">
        <f>Séquenceur!C11</f>
        <v/>
      </c>
      <c r="G32" s="164" t="str">
        <f>Séquenceur!C12</f>
        <v/>
      </c>
      <c r="AF32" s="17"/>
      <c r="AG32" s="17"/>
      <c r="AH32" s="33"/>
      <c r="AI32" s="17"/>
      <c r="AJ32" s="17"/>
      <c r="AK32" s="17"/>
      <c r="AL32" s="17"/>
      <c r="AM32" s="17"/>
      <c r="AO32" s="31"/>
      <c r="AP32" s="31"/>
      <c r="AQ32" s="31"/>
      <c r="AR32" s="31"/>
      <c r="AS32" s="31"/>
    </row>
    <row r="33" spans="1:45" ht="29.25" customHeight="1">
      <c r="A33" s="322"/>
      <c r="B33" s="162" t="str">
        <f>Séquenceur!D7</f>
        <v>Indiquez…</v>
      </c>
      <c r="C33" s="162">
        <f>Séquenceur!D8</f>
        <v>0</v>
      </c>
      <c r="D33" s="162">
        <f>Séquenceur!D9</f>
        <v>0</v>
      </c>
      <c r="E33" s="203"/>
      <c r="F33" s="163" t="str">
        <f>Séquenceur!D11</f>
        <v/>
      </c>
      <c r="G33" s="164" t="str">
        <f>Séquenceur!D12</f>
        <v/>
      </c>
      <c r="AF33" s="17"/>
      <c r="AG33" s="320" t="s">
        <v>75</v>
      </c>
      <c r="AH33" s="35" t="s">
        <v>80</v>
      </c>
      <c r="AI33" s="316" t="str">
        <f>'Etat des lieux'!D31</f>
        <v xml:space="preserve">La puissance d'un moto-variateur synchrone à aimants permanents doit être inférieure ou égale à 1 MW. </v>
      </c>
      <c r="AJ33" s="316"/>
      <c r="AK33" s="316"/>
      <c r="AL33" s="17"/>
      <c r="AM33" s="17"/>
      <c r="AO33" s="31"/>
      <c r="AP33" s="31"/>
      <c r="AQ33" s="31"/>
      <c r="AR33" s="31"/>
      <c r="AS33" s="31"/>
    </row>
    <row r="34" spans="1:45" ht="29.25" customHeight="1">
      <c r="A34" s="323"/>
      <c r="B34" s="162" t="str">
        <f>Séquenceur!E7</f>
        <v>Indiquez…</v>
      </c>
      <c r="C34" s="162">
        <f>Séquenceur!E8</f>
        <v>0</v>
      </c>
      <c r="D34" s="162">
        <f>Séquenceur!E9</f>
        <v>0</v>
      </c>
      <c r="E34" s="203"/>
      <c r="F34" s="163" t="str">
        <f>Séquenceur!E11</f>
        <v/>
      </c>
      <c r="G34" s="164" t="str">
        <f>Séquenceur!E12</f>
        <v/>
      </c>
      <c r="H34" s="194"/>
      <c r="AF34" s="17"/>
      <c r="AG34" s="320"/>
      <c r="AH34" s="35" t="s">
        <v>80</v>
      </c>
      <c r="AI34" s="316" t="str">
        <f>'Etat des lieux'!D31</f>
        <v xml:space="preserve">La puissance d'un moto-variateur synchrone à aimants permanents doit être inférieure ou égale à 1 MW. </v>
      </c>
      <c r="AJ34" s="316"/>
      <c r="AK34" s="316"/>
      <c r="AL34" s="17"/>
      <c r="AM34" s="17"/>
      <c r="AO34" s="31"/>
      <c r="AP34" s="31"/>
      <c r="AQ34" s="31"/>
      <c r="AR34" s="31"/>
      <c r="AS34" s="31"/>
    </row>
    <row r="35" spans="1:45" ht="22.5" customHeight="1">
      <c r="A35" s="165"/>
      <c r="B35" s="147"/>
      <c r="C35" s="153"/>
      <c r="D35" s="153"/>
      <c r="E35" s="147"/>
      <c r="F35" s="166"/>
      <c r="G35" s="167"/>
      <c r="H35" s="194"/>
      <c r="AF35" s="17"/>
      <c r="AG35" s="320"/>
      <c r="AH35" s="35" t="s">
        <v>80</v>
      </c>
      <c r="AI35" s="316" t="str">
        <f>'Etat des lieux'!D31</f>
        <v xml:space="preserve">La puissance d'un moto-variateur synchrone à aimants permanents doit être inférieure ou égale à 1 MW. </v>
      </c>
      <c r="AJ35" s="316"/>
      <c r="AK35" s="316"/>
      <c r="AL35" s="17"/>
      <c r="AM35" s="17"/>
    </row>
    <row r="36" spans="1:45" ht="13.5" customHeight="1">
      <c r="A36" s="321" t="str">
        <f>'VEV synchrone'!B4</f>
        <v>Système de variation électronique de vitesse sur un moteur synchrone à aimants permanents</v>
      </c>
      <c r="B36" s="168" t="str">
        <f>'VEV synchrone'!C7</f>
        <v>Indiquez …</v>
      </c>
      <c r="C36" s="162">
        <f>'VEV synchrone'!C8</f>
        <v>0</v>
      </c>
      <c r="D36" s="162">
        <f>'VEV synchrone'!C9</f>
        <v>0</v>
      </c>
      <c r="E36" s="203"/>
      <c r="F36" s="163" t="str">
        <f>'VEV synchrone'!C11</f>
        <v/>
      </c>
      <c r="G36" s="164" t="str">
        <f>'VEV synchrone'!C12</f>
        <v/>
      </c>
      <c r="AF36" s="17"/>
      <c r="AG36" s="23"/>
      <c r="AH36" s="23"/>
      <c r="AI36" s="36">
        <f>G39-SUM(G12:G38)</f>
        <v>0</v>
      </c>
      <c r="AJ36" s="23"/>
      <c r="AK36" s="23"/>
      <c r="AL36" s="23"/>
      <c r="AM36" s="17"/>
    </row>
    <row r="37" spans="1:45">
      <c r="A37" s="322"/>
      <c r="B37" s="162" t="str">
        <f>'VEV synchrone'!D7</f>
        <v>Indiquez …</v>
      </c>
      <c r="C37" s="162">
        <f>'VEV synchrone'!D8</f>
        <v>0</v>
      </c>
      <c r="D37" s="162">
        <f>'VEV synchrone'!D9</f>
        <v>0</v>
      </c>
      <c r="E37" s="203"/>
      <c r="F37" s="163" t="str">
        <f>'VEV synchrone'!D11</f>
        <v/>
      </c>
      <c r="G37" s="164" t="str">
        <f>'VEV synchrone'!D12</f>
        <v/>
      </c>
      <c r="AF37" s="17"/>
      <c r="AG37" s="34">
        <f>ROUND(G39,2)</f>
        <v>418.88</v>
      </c>
      <c r="AH37" s="17"/>
      <c r="AI37" s="17"/>
      <c r="AJ37" s="17"/>
      <c r="AK37" s="17"/>
      <c r="AL37" s="17"/>
      <c r="AM37" s="17"/>
    </row>
    <row r="38" spans="1:45">
      <c r="A38" s="323"/>
      <c r="B38" s="162" t="str">
        <f>'VEV synchrone'!E7</f>
        <v>Indiquez …</v>
      </c>
      <c r="C38" s="162">
        <f>'VEV synchrone'!E8</f>
        <v>0</v>
      </c>
      <c r="D38" s="162">
        <f>'VEV synchrone'!E9</f>
        <v>0</v>
      </c>
      <c r="E38" s="204"/>
      <c r="F38" s="163" t="str">
        <f>'VEV synchrone'!E11</f>
        <v/>
      </c>
      <c r="G38" s="164" t="str">
        <f>'VEV synchrone'!E12</f>
        <v/>
      </c>
      <c r="N38">
        <f>'Etat des lieux'!H4*'Etat des lieux'!E10</f>
        <v>3.2</v>
      </c>
      <c r="AF38" s="17"/>
      <c r="AG38" s="34" t="e">
        <f>ROUND(#REF!,2)</f>
        <v>#REF!</v>
      </c>
      <c r="AH38" s="17"/>
      <c r="AI38" s="17"/>
      <c r="AJ38" s="17"/>
      <c r="AK38" s="17"/>
      <c r="AL38" s="17"/>
      <c r="AM38" s="17"/>
    </row>
    <row r="39" spans="1:45">
      <c r="A39" s="324" t="s">
        <v>18</v>
      </c>
      <c r="B39" s="325"/>
      <c r="C39" s="325"/>
      <c r="D39" s="325"/>
      <c r="E39" s="326"/>
      <c r="F39" s="169">
        <f>SUM(F12:F38)</f>
        <v>130900</v>
      </c>
      <c r="G39" s="170">
        <f>SUM(G12:G38)</f>
        <v>418.88</v>
      </c>
      <c r="AF39" s="17"/>
      <c r="AG39" s="17"/>
      <c r="AH39" s="17"/>
      <c r="AI39" s="17"/>
      <c r="AJ39" s="17"/>
      <c r="AK39" s="17"/>
      <c r="AL39" s="17"/>
      <c r="AM39" s="17"/>
    </row>
    <row r="40" spans="1:45" ht="15" customHeight="1">
      <c r="A40" s="189"/>
      <c r="B40" s="190"/>
      <c r="C40" s="190"/>
      <c r="D40" s="190"/>
      <c r="E40" s="190"/>
      <c r="F40" s="195" t="str">
        <f>"Part "&amp;'Etat des lieux'!E4</f>
        <v>Part REY FRERES</v>
      </c>
      <c r="G40" s="170">
        <f>IF('Etat des lieux'!E10="xx","",G39*'Etat des lieux'!E10)</f>
        <v>418.88</v>
      </c>
      <c r="H40" s="196">
        <f>IF('Etat des lieux'!E10="xx","",'Etat des lieux'!E10)</f>
        <v>1</v>
      </c>
      <c r="I40" t="str">
        <f>IF(H40="","","(soit "&amp;N38&amp;" € HT/MWhc)")</f>
        <v>(soit 3,2 € HT/MWhc)</v>
      </c>
      <c r="AF40" s="17"/>
      <c r="AG40" s="17"/>
      <c r="AH40" s="17"/>
      <c r="AI40" s="17"/>
      <c r="AJ40" s="17"/>
      <c r="AK40" s="17"/>
      <c r="AL40" s="17"/>
      <c r="AM40" s="17"/>
    </row>
    <row r="41" spans="1:45" ht="16.5" customHeight="1">
      <c r="A41" s="189"/>
      <c r="B41" s="190"/>
      <c r="C41" s="190"/>
      <c r="D41" s="190"/>
      <c r="E41" s="190"/>
      <c r="F41" s="195" t="str">
        <f>"Part "&amp;'Etat des lieux'!E14</f>
        <v>Part SFACS INDUSTRIE</v>
      </c>
      <c r="G41" s="170">
        <f>IF(G40="","",G39-G40)</f>
        <v>0</v>
      </c>
      <c r="H41" s="196">
        <f>IF(H40="","",1-H40)</f>
        <v>0</v>
      </c>
      <c r="AF41" s="17"/>
      <c r="AG41" s="17"/>
      <c r="AH41" s="17"/>
      <c r="AI41" s="17"/>
      <c r="AJ41" s="17"/>
      <c r="AK41" s="17"/>
      <c r="AL41" s="17"/>
      <c r="AM41" s="17"/>
      <c r="AN41" s="7"/>
      <c r="AO41" s="7"/>
    </row>
    <row r="42" spans="1:45" ht="16.5" customHeight="1">
      <c r="A42" s="171"/>
      <c r="B42" s="172"/>
      <c r="C42" s="172"/>
      <c r="D42" s="173"/>
      <c r="E42" s="173"/>
      <c r="F42" s="173"/>
      <c r="G42" s="174"/>
      <c r="H42" s="188"/>
      <c r="AF42" s="17"/>
      <c r="AG42" s="17"/>
      <c r="AH42" s="17"/>
      <c r="AI42" s="17"/>
      <c r="AJ42" s="17"/>
      <c r="AK42" s="17"/>
      <c r="AL42" s="17"/>
      <c r="AM42" s="17"/>
      <c r="AN42" s="7"/>
      <c r="AO42" s="7"/>
    </row>
    <row r="43" spans="1:45" ht="15" customHeight="1">
      <c r="A43" s="327" t="s">
        <v>68</v>
      </c>
      <c r="B43" s="328"/>
      <c r="C43" s="328"/>
      <c r="D43" s="328"/>
      <c r="E43" s="328"/>
      <c r="F43" s="328"/>
      <c r="G43" s="329"/>
      <c r="H43" s="188"/>
      <c r="AF43" s="17"/>
      <c r="AG43" s="17"/>
      <c r="AH43" s="17"/>
      <c r="AI43" s="17"/>
      <c r="AJ43" s="17"/>
      <c r="AK43" s="17"/>
      <c r="AL43" s="17"/>
      <c r="AM43" s="17"/>
    </row>
    <row r="44" spans="1:45" ht="12" customHeight="1">
      <c r="A44" s="339" t="s">
        <v>69</v>
      </c>
      <c r="B44" s="340"/>
      <c r="C44" s="340"/>
      <c r="D44" s="340"/>
      <c r="E44" s="340"/>
      <c r="F44" s="340"/>
      <c r="G44" s="341"/>
      <c r="H44" s="188"/>
      <c r="AF44" s="17"/>
      <c r="AG44" s="17"/>
      <c r="AH44" s="17"/>
      <c r="AI44" s="17"/>
      <c r="AJ44" s="17"/>
      <c r="AK44" s="17"/>
      <c r="AL44" s="17"/>
      <c r="AM44" s="17"/>
    </row>
    <row r="45" spans="1:45" ht="13.5" customHeight="1">
      <c r="A45" s="339" t="s">
        <v>70</v>
      </c>
      <c r="B45" s="340"/>
      <c r="C45" s="340"/>
      <c r="D45" s="340"/>
      <c r="E45" s="340"/>
      <c r="F45" s="340"/>
      <c r="G45" s="341"/>
      <c r="H45" s="187"/>
      <c r="AF45" s="17"/>
      <c r="AG45" s="17"/>
      <c r="AH45" s="17"/>
      <c r="AI45" s="17"/>
      <c r="AJ45" s="17"/>
      <c r="AK45" s="17"/>
      <c r="AL45" s="17"/>
      <c r="AM45" s="17"/>
    </row>
    <row r="46" spans="1:45" ht="13.5" customHeight="1">
      <c r="A46" s="342" t="s">
        <v>336</v>
      </c>
      <c r="B46" s="340"/>
      <c r="C46" s="340"/>
      <c r="D46" s="340"/>
      <c r="E46" s="340"/>
      <c r="F46" s="340"/>
      <c r="G46" s="341"/>
      <c r="H46" s="187"/>
      <c r="AF46" s="17"/>
      <c r="AG46" s="17"/>
      <c r="AH46" s="17"/>
      <c r="AI46" s="17"/>
      <c r="AJ46" s="17"/>
      <c r="AK46" s="17"/>
      <c r="AL46" s="17"/>
      <c r="AM46" s="17"/>
    </row>
    <row r="47" spans="1:45" ht="13.5" customHeight="1">
      <c r="A47" s="327" t="s">
        <v>71</v>
      </c>
      <c r="B47" s="328"/>
      <c r="C47" s="328"/>
      <c r="D47" s="328"/>
      <c r="E47" s="328"/>
      <c r="F47" s="328"/>
      <c r="G47" s="329"/>
      <c r="H47" s="176"/>
      <c r="AF47" s="17"/>
      <c r="AG47" s="17"/>
      <c r="AH47" s="17"/>
      <c r="AI47" s="17"/>
      <c r="AJ47" s="17"/>
      <c r="AK47" s="17"/>
      <c r="AL47" s="17"/>
      <c r="AM47" s="17"/>
    </row>
    <row r="48" spans="1:45">
      <c r="A48" s="327" t="s">
        <v>72</v>
      </c>
      <c r="B48" s="328"/>
      <c r="C48" s="328"/>
      <c r="D48" s="328"/>
      <c r="E48" s="328"/>
      <c r="F48" s="328"/>
      <c r="G48" s="329"/>
      <c r="H48" s="176"/>
    </row>
    <row r="49" spans="1:8">
      <c r="A49" s="175"/>
      <c r="B49" s="121"/>
      <c r="C49" s="176"/>
      <c r="D49" s="176"/>
      <c r="E49" s="176"/>
      <c r="F49" s="176"/>
      <c r="G49" s="177"/>
      <c r="H49" s="3"/>
    </row>
    <row r="50" spans="1:8">
      <c r="A50" s="178" t="s">
        <v>27</v>
      </c>
      <c r="B50" s="179" t="s">
        <v>66</v>
      </c>
      <c r="C50" s="176" t="s">
        <v>236</v>
      </c>
      <c r="D50" s="176"/>
      <c r="E50" s="176"/>
      <c r="F50" s="176"/>
      <c r="G50" s="177"/>
      <c r="H50" s="3"/>
    </row>
    <row r="51" spans="1:8">
      <c r="A51" s="5"/>
      <c r="B51" s="15" t="s">
        <v>31</v>
      </c>
      <c r="C51" s="8" t="s">
        <v>30</v>
      </c>
      <c r="D51" s="3"/>
      <c r="E51" s="3"/>
      <c r="F51" s="3"/>
      <c r="G51" s="6"/>
      <c r="H51" s="3"/>
    </row>
    <row r="52" spans="1:8">
      <c r="A52" s="5"/>
      <c r="B52" s="15" t="s">
        <v>67</v>
      </c>
      <c r="C52" s="24" t="s">
        <v>135</v>
      </c>
      <c r="D52" s="3"/>
      <c r="E52" s="3"/>
      <c r="F52" s="3"/>
      <c r="G52" s="6"/>
    </row>
    <row r="53" spans="1:8">
      <c r="A53" s="5"/>
      <c r="B53" s="3"/>
      <c r="C53" s="3"/>
      <c r="D53" s="3"/>
      <c r="E53" s="3"/>
      <c r="F53" s="3"/>
      <c r="G53" s="6"/>
    </row>
    <row r="54" spans="1:8">
      <c r="A54" s="336" t="s">
        <v>333</v>
      </c>
      <c r="B54" s="337"/>
      <c r="C54" s="337"/>
      <c r="D54" s="337"/>
      <c r="E54" s="337"/>
      <c r="F54" s="337"/>
      <c r="G54" s="338"/>
    </row>
  </sheetData>
  <sheetProtection algorithmName="SHA-512" hashValue="SyqCEgqJbt4ABJmBgN5pZj3RRBlvszvpMzKaLDhZkaSzjnXsWDN9CqXMUZsfm4BSKH5BTu3/JvneyAwmlhmUpQ==" saltValue="g59YNFes2wezNg+Erc6ang==" spinCount="100000" sheet="1" selectLockedCells="1"/>
  <mergeCells count="58">
    <mergeCell ref="A7:B7"/>
    <mergeCell ref="C7:G7"/>
    <mergeCell ref="AG16:AG18"/>
    <mergeCell ref="A10:G10"/>
    <mergeCell ref="A12:A14"/>
    <mergeCell ref="A8:B8"/>
    <mergeCell ref="C8:G8"/>
    <mergeCell ref="AG9:AW11"/>
    <mergeCell ref="I6:I7"/>
    <mergeCell ref="I8:I9"/>
    <mergeCell ref="A20:A22"/>
    <mergeCell ref="A16:A18"/>
    <mergeCell ref="AI18:AK18"/>
    <mergeCell ref="AI16:AK16"/>
    <mergeCell ref="AQ13:AW18"/>
    <mergeCell ref="AI17:AK17"/>
    <mergeCell ref="AG12:AG14"/>
    <mergeCell ref="AI12:AK12"/>
    <mergeCell ref="AI13:AK13"/>
    <mergeCell ref="AI14:AK14"/>
    <mergeCell ref="AI21:AK21"/>
    <mergeCell ref="AI22:AK22"/>
    <mergeCell ref="A1:G2"/>
    <mergeCell ref="A4:B4"/>
    <mergeCell ref="C4:G4"/>
    <mergeCell ref="A5:B5"/>
    <mergeCell ref="A6:B6"/>
    <mergeCell ref="C5:G5"/>
    <mergeCell ref="C6:G6"/>
    <mergeCell ref="A54:G54"/>
    <mergeCell ref="A43:G43"/>
    <mergeCell ref="A44:G44"/>
    <mergeCell ref="A45:G45"/>
    <mergeCell ref="A46:G46"/>
    <mergeCell ref="A47:G47"/>
    <mergeCell ref="A32:A34"/>
    <mergeCell ref="A39:E39"/>
    <mergeCell ref="A48:G48"/>
    <mergeCell ref="A36:A38"/>
    <mergeCell ref="B24:B26"/>
    <mergeCell ref="B28:B30"/>
    <mergeCell ref="D24:D26"/>
    <mergeCell ref="A24:A26"/>
    <mergeCell ref="A28:A30"/>
    <mergeCell ref="AG29:AG31"/>
    <mergeCell ref="AG33:AG35"/>
    <mergeCell ref="AI29:AK29"/>
    <mergeCell ref="AI30:AK30"/>
    <mergeCell ref="AI31:AK31"/>
    <mergeCell ref="AI33:AK33"/>
    <mergeCell ref="AI34:AK34"/>
    <mergeCell ref="AI35:AK35"/>
    <mergeCell ref="AI23:AK23"/>
    <mergeCell ref="AG25:AG27"/>
    <mergeCell ref="AI25:AK25"/>
    <mergeCell ref="AI26:AK26"/>
    <mergeCell ref="AI27:AK27"/>
    <mergeCell ref="AG21:AG23"/>
  </mergeCells>
  <phoneticPr fontId="5" type="noConversion"/>
  <hyperlinks>
    <hyperlink ref="C51" r:id="rId1"/>
    <hyperlink ref="C52" r:id="rId2"/>
  </hyperlinks>
  <pageMargins left="0.25" right="0.25" top="0.75" bottom="0.75" header="0.3" footer="0.3"/>
  <pageSetup paperSize="9" scale="83" orientation="portrait" r:id="rId3"/>
  <colBreaks count="1" manualBreakCount="1">
    <brk id="31" max="1048575" man="1"/>
  </colBreaks>
  <drawing r:id="rId4"/>
</worksheet>
</file>

<file path=xl/worksheets/sheet11.xml><?xml version="1.0" encoding="utf-8"?>
<worksheet xmlns="http://schemas.openxmlformats.org/spreadsheetml/2006/main" xmlns:r="http://schemas.openxmlformats.org/officeDocument/2006/relationships">
  <sheetPr codeName="Feuil11"/>
  <dimension ref="A1:BN422"/>
  <sheetViews>
    <sheetView view="pageBreakPreview" topLeftCell="A139" zoomScale="55" zoomScaleNormal="70" zoomScaleSheetLayoutView="55" zoomScalePageLayoutView="40" workbookViewId="0">
      <selection activeCell="H169" sqref="H169"/>
    </sheetView>
  </sheetViews>
  <sheetFormatPr baseColWidth="10" defaultColWidth="11.42578125" defaultRowHeight="14.25"/>
  <cols>
    <col min="1" max="1" width="4" style="61" customWidth="1"/>
    <col min="2" max="2" width="42.7109375" style="61" customWidth="1"/>
    <col min="3" max="3" width="41.7109375" style="61" customWidth="1"/>
    <col min="4" max="4" width="21.7109375" style="61" customWidth="1"/>
    <col min="5" max="5" width="15.140625" style="61" customWidth="1"/>
    <col min="6" max="6" width="27.140625" style="61" customWidth="1"/>
    <col min="7" max="7" width="28.140625" style="61" customWidth="1"/>
    <col min="8" max="8" width="26.5703125" style="61" customWidth="1"/>
    <col min="9" max="9" width="13.5703125" style="61" hidden="1" customWidth="1"/>
    <col min="10" max="10" width="2" style="61" customWidth="1"/>
    <col min="11" max="11" width="1.5703125" style="61" customWidth="1"/>
    <col min="12" max="12" width="2.85546875" style="61" customWidth="1"/>
    <col min="13" max="16" width="1.5703125" style="61" customWidth="1"/>
    <col min="17" max="17" width="11.42578125" style="61"/>
    <col min="18" max="20" width="11.42578125" style="61" customWidth="1"/>
    <col min="21" max="16384" width="11.42578125" style="61"/>
  </cols>
  <sheetData>
    <row r="1" spans="1:19">
      <c r="A1" s="59"/>
      <c r="B1" s="392"/>
      <c r="C1" s="59"/>
      <c r="D1" s="59"/>
      <c r="E1" s="59"/>
      <c r="F1" s="59"/>
      <c r="G1" s="59"/>
      <c r="H1" s="59"/>
      <c r="I1" s="59"/>
      <c r="J1" s="59"/>
      <c r="K1" s="59"/>
      <c r="L1" s="60"/>
    </row>
    <row r="2" spans="1:19" ht="6" customHeight="1">
      <c r="A2" s="59"/>
      <c r="B2" s="392"/>
      <c r="C2" s="59"/>
      <c r="D2" s="59"/>
      <c r="E2" s="59"/>
      <c r="F2" s="59"/>
      <c r="G2" s="59"/>
      <c r="H2" s="59"/>
      <c r="I2" s="59"/>
      <c r="J2" s="59"/>
      <c r="K2" s="59"/>
      <c r="L2" s="60"/>
    </row>
    <row r="3" spans="1:19">
      <c r="A3" s="59"/>
      <c r="B3" s="62"/>
      <c r="C3" s="62"/>
      <c r="D3" s="62"/>
      <c r="E3" s="62"/>
      <c r="F3" s="62"/>
      <c r="G3" s="62"/>
      <c r="H3" s="62"/>
      <c r="I3" s="62"/>
      <c r="J3" s="59"/>
      <c r="K3" s="59"/>
      <c r="L3" s="60"/>
    </row>
    <row r="4" spans="1:19">
      <c r="A4" s="59"/>
      <c r="B4" s="62"/>
      <c r="C4" s="62"/>
      <c r="D4" s="62"/>
      <c r="E4" s="62"/>
      <c r="F4" s="62"/>
      <c r="G4" s="62"/>
      <c r="H4" s="62"/>
      <c r="I4" s="62"/>
      <c r="J4" s="59"/>
      <c r="K4" s="59"/>
      <c r="L4" s="60"/>
    </row>
    <row r="5" spans="1:19">
      <c r="A5" s="59"/>
      <c r="B5" s="62"/>
      <c r="C5" s="62"/>
      <c r="D5" s="62"/>
      <c r="E5" s="62"/>
      <c r="F5" s="62"/>
      <c r="G5" s="62"/>
      <c r="H5" s="62"/>
      <c r="I5" s="62"/>
      <c r="J5" s="59"/>
      <c r="K5" s="59"/>
      <c r="L5" s="60"/>
    </row>
    <row r="6" spans="1:19">
      <c r="A6" s="59"/>
      <c r="B6" s="62"/>
      <c r="C6" s="62"/>
      <c r="D6" s="62"/>
      <c r="E6" s="62"/>
      <c r="F6" s="62"/>
      <c r="G6" s="62"/>
      <c r="H6" s="62"/>
      <c r="I6" s="62"/>
      <c r="J6" s="59"/>
      <c r="K6" s="59"/>
      <c r="L6" s="60"/>
    </row>
    <row r="7" spans="1:19">
      <c r="A7" s="59"/>
      <c r="B7" s="62"/>
      <c r="C7" s="62"/>
      <c r="D7" s="62"/>
      <c r="E7" s="62"/>
      <c r="F7" s="62"/>
      <c r="G7" s="62"/>
      <c r="H7" s="62"/>
      <c r="I7" s="62"/>
      <c r="J7" s="59"/>
      <c r="K7" s="59"/>
      <c r="L7" s="60"/>
    </row>
    <row r="8" spans="1:19">
      <c r="A8" s="59"/>
      <c r="B8" s="62"/>
      <c r="C8" s="62"/>
      <c r="D8" s="62"/>
      <c r="E8" s="62"/>
      <c r="F8" s="62"/>
      <c r="G8" s="62"/>
      <c r="H8" s="62"/>
      <c r="I8" s="62"/>
      <c r="J8" s="59"/>
      <c r="K8" s="59"/>
      <c r="L8" s="60"/>
    </row>
    <row r="9" spans="1:19">
      <c r="A9" s="59"/>
      <c r="B9" s="62"/>
      <c r="C9" s="62"/>
      <c r="D9" s="62"/>
      <c r="E9" s="62"/>
      <c r="F9" s="62"/>
      <c r="G9" s="62"/>
      <c r="H9" s="62"/>
      <c r="I9" s="62"/>
      <c r="J9" s="59"/>
      <c r="K9" s="59"/>
      <c r="L9" s="60"/>
    </row>
    <row r="10" spans="1:19">
      <c r="A10" s="59"/>
      <c r="B10" s="62"/>
      <c r="C10" s="62"/>
      <c r="D10" s="62"/>
      <c r="E10" s="62"/>
      <c r="F10" s="62"/>
      <c r="G10" s="62"/>
      <c r="H10" s="62"/>
      <c r="I10" s="62"/>
      <c r="J10" s="59"/>
      <c r="K10" s="59"/>
      <c r="L10" s="60"/>
    </row>
    <row r="11" spans="1:19" ht="35.25">
      <c r="A11" s="59"/>
      <c r="B11" s="206" t="str">
        <f>'Etat des lieux'!E4</f>
        <v>REY FRERES</v>
      </c>
      <c r="C11" s="62"/>
      <c r="D11" s="62"/>
      <c r="E11" s="62"/>
      <c r="F11" s="62"/>
      <c r="G11" s="62"/>
      <c r="H11" s="62"/>
      <c r="I11" s="62"/>
      <c r="J11" s="59"/>
      <c r="K11" s="59"/>
      <c r="L11" s="60"/>
    </row>
    <row r="12" spans="1:19" ht="24.75">
      <c r="A12" s="59"/>
      <c r="B12" s="114" t="str">
        <f>"Département "&amp;'Etat des lieux'!E8</f>
        <v>Département 38</v>
      </c>
      <c r="C12" s="62"/>
      <c r="D12" s="62"/>
      <c r="E12" s="62"/>
      <c r="F12" s="62"/>
      <c r="G12" s="62"/>
      <c r="H12" s="62"/>
      <c r="I12" s="62"/>
      <c r="J12" s="59"/>
      <c r="K12" s="59"/>
      <c r="L12" s="60"/>
    </row>
    <row r="13" spans="1:19" ht="24.75">
      <c r="A13" s="59"/>
      <c r="B13" s="114" t="str">
        <f>"SIREN : "&amp;'Etat des lieux'!E5</f>
        <v>SIREN : 653 680 744</v>
      </c>
      <c r="C13" s="62"/>
      <c r="D13" s="62"/>
      <c r="E13" s="62"/>
      <c r="F13" s="62"/>
      <c r="G13" s="62"/>
      <c r="H13" s="62"/>
      <c r="I13" s="62"/>
      <c r="J13" s="59"/>
      <c r="K13" s="59"/>
      <c r="L13" s="60"/>
      <c r="S13" s="61" t="b">
        <f>Offre!B65=IF(OR(D13&lt;&gt;0,D14&lt;&gt;0,D12&lt;&gt;0),O13,"")&amp;IF(OR(D16&lt;&gt;0,D17&lt;&gt;0,D18&lt;&gt;0),O14,"")&amp;IF(OR(D20&lt;&gt;0,D21&lt;&gt;0,D22&lt;&gt;0),O15,"")&amp;IF(OR(D24&lt;&gt;0,D25&lt;&gt;0,D26&lt;&gt;0),O16,"")&amp;IF(B28="Pas de certification","",L28)</f>
        <v>0</v>
      </c>
    </row>
    <row r="14" spans="1:19" ht="24.75">
      <c r="A14" s="59"/>
      <c r="B14" s="115">
        <f>C314</f>
        <v>42736</v>
      </c>
      <c r="C14" s="62"/>
      <c r="D14" s="62"/>
      <c r="E14" s="62"/>
      <c r="F14" s="62"/>
      <c r="G14" s="62"/>
      <c r="H14" s="62"/>
      <c r="I14" s="62"/>
      <c r="J14" s="59"/>
      <c r="K14" s="59"/>
      <c r="L14" s="60"/>
    </row>
    <row r="15" spans="1:19" ht="14.25" customHeight="1">
      <c r="A15" s="59"/>
      <c r="B15" s="62"/>
      <c r="C15" s="62"/>
      <c r="D15" s="62"/>
      <c r="E15" s="62"/>
      <c r="F15" s="62"/>
      <c r="G15" s="62"/>
      <c r="H15" s="62"/>
      <c r="I15" s="62"/>
      <c r="J15" s="59"/>
      <c r="K15" s="59"/>
      <c r="L15" s="60"/>
    </row>
    <row r="16" spans="1:19" ht="14.25" customHeight="1">
      <c r="A16" s="59"/>
      <c r="B16" s="62"/>
      <c r="C16" s="62"/>
      <c r="D16" s="62"/>
      <c r="E16" s="62"/>
      <c r="F16" s="62"/>
      <c r="G16" s="62"/>
      <c r="H16" s="62"/>
      <c r="I16" s="62"/>
      <c r="J16" s="59"/>
      <c r="K16" s="59"/>
      <c r="L16" s="60"/>
    </row>
    <row r="17" spans="1:12" ht="14.25" customHeight="1">
      <c r="A17" s="59"/>
      <c r="B17" s="62"/>
      <c r="C17" s="62"/>
      <c r="D17" s="62"/>
      <c r="E17" s="62"/>
      <c r="F17" s="62"/>
      <c r="G17" s="62"/>
      <c r="H17" s="62"/>
      <c r="I17" s="62"/>
      <c r="J17" s="59"/>
      <c r="K17" s="59"/>
      <c r="L17" s="60"/>
    </row>
    <row r="18" spans="1:12" ht="14.25" customHeight="1">
      <c r="A18" s="59"/>
      <c r="B18" s="62"/>
      <c r="C18" s="62"/>
      <c r="D18" s="62"/>
      <c r="E18" s="62"/>
      <c r="F18" s="62"/>
      <c r="G18" s="62"/>
      <c r="H18" s="62"/>
      <c r="I18" s="62"/>
      <c r="J18" s="59"/>
      <c r="K18" s="59"/>
      <c r="L18" s="60"/>
    </row>
    <row r="19" spans="1:12" ht="14.25" customHeight="1">
      <c r="A19" s="59"/>
      <c r="B19" s="62"/>
      <c r="C19" s="62"/>
      <c r="D19" s="62"/>
      <c r="E19" s="62"/>
      <c r="F19" s="62"/>
      <c r="G19" s="62"/>
      <c r="H19" s="62"/>
      <c r="I19" s="62"/>
      <c r="J19" s="59"/>
      <c r="K19" s="59"/>
      <c r="L19" s="60"/>
    </row>
    <row r="20" spans="1:12">
      <c r="A20" s="59"/>
      <c r="B20" s="62"/>
      <c r="C20" s="62"/>
      <c r="D20" s="62"/>
      <c r="E20" s="62"/>
      <c r="F20" s="62"/>
      <c r="G20" s="62"/>
      <c r="H20" s="62"/>
      <c r="I20" s="62"/>
      <c r="J20" s="59"/>
      <c r="K20" s="59"/>
      <c r="L20" s="60"/>
    </row>
    <row r="21" spans="1:12">
      <c r="A21" s="59"/>
      <c r="B21" s="62"/>
      <c r="C21" s="62"/>
      <c r="D21" s="62"/>
      <c r="E21" s="62"/>
      <c r="F21" s="62"/>
      <c r="G21" s="62"/>
      <c r="H21" s="62"/>
      <c r="I21" s="62"/>
      <c r="J21" s="59"/>
      <c r="K21" s="59"/>
      <c r="L21" s="60"/>
    </row>
    <row r="22" spans="1:12">
      <c r="A22" s="59"/>
      <c r="B22" s="62"/>
      <c r="C22" s="62"/>
      <c r="D22" s="62"/>
      <c r="E22" s="62"/>
      <c r="F22" s="62"/>
      <c r="G22" s="62"/>
      <c r="H22" s="62"/>
      <c r="I22" s="62"/>
      <c r="J22" s="59"/>
      <c r="K22" s="59"/>
      <c r="L22" s="60"/>
    </row>
    <row r="23" spans="1:12">
      <c r="A23" s="59"/>
      <c r="B23" s="62"/>
      <c r="C23" s="62"/>
      <c r="D23" s="62"/>
      <c r="E23" s="62"/>
      <c r="F23" s="62"/>
      <c r="G23" s="62"/>
      <c r="H23" s="62"/>
      <c r="I23" s="62"/>
      <c r="J23" s="59"/>
      <c r="K23" s="59"/>
      <c r="L23" s="60"/>
    </row>
    <row r="24" spans="1:12">
      <c r="A24" s="59"/>
      <c r="B24" s="62"/>
      <c r="C24" s="62"/>
      <c r="D24" s="62"/>
      <c r="E24" s="62"/>
      <c r="F24" s="62"/>
      <c r="G24" s="62"/>
      <c r="H24" s="62"/>
      <c r="I24" s="62"/>
      <c r="J24" s="59"/>
      <c r="K24" s="59"/>
      <c r="L24" s="60"/>
    </row>
    <row r="25" spans="1:12">
      <c r="A25" s="59"/>
      <c r="B25" s="62"/>
      <c r="C25" s="62"/>
      <c r="D25" s="62"/>
      <c r="E25" s="62"/>
      <c r="F25" s="62"/>
      <c r="G25" s="62"/>
      <c r="H25" s="62"/>
      <c r="I25" s="62"/>
      <c r="J25" s="59"/>
      <c r="K25" s="59"/>
      <c r="L25" s="60"/>
    </row>
    <row r="26" spans="1:12">
      <c r="A26" s="59"/>
      <c r="B26" s="62"/>
      <c r="C26" s="62"/>
      <c r="D26" s="62"/>
      <c r="E26" s="62"/>
      <c r="F26" s="62"/>
      <c r="G26" s="62"/>
      <c r="H26" s="62"/>
      <c r="I26" s="62"/>
      <c r="J26" s="59"/>
      <c r="K26" s="59"/>
      <c r="L26" s="60"/>
    </row>
    <row r="27" spans="1:12">
      <c r="A27" s="59"/>
      <c r="B27" s="62"/>
      <c r="C27" s="62"/>
      <c r="D27" s="62"/>
      <c r="E27" s="62"/>
      <c r="F27" s="62"/>
      <c r="G27" s="62"/>
      <c r="H27" s="62"/>
      <c r="I27" s="62"/>
      <c r="J27" s="59"/>
      <c r="K27" s="59"/>
      <c r="L27" s="60"/>
    </row>
    <row r="28" spans="1:12">
      <c r="A28" s="59"/>
      <c r="B28" s="62"/>
      <c r="C28" s="62"/>
      <c r="D28" s="62"/>
      <c r="E28" s="62"/>
      <c r="F28" s="62"/>
      <c r="G28" s="62"/>
      <c r="H28" s="62"/>
      <c r="I28" s="62"/>
      <c r="J28" s="59"/>
      <c r="K28" s="59"/>
      <c r="L28" s="60"/>
    </row>
    <row r="29" spans="1:12">
      <c r="A29" s="59"/>
      <c r="B29" s="62"/>
      <c r="C29" s="62"/>
      <c r="D29" s="62"/>
      <c r="E29" s="62"/>
      <c r="F29" s="62"/>
      <c r="G29" s="62"/>
      <c r="H29" s="62"/>
      <c r="I29" s="62"/>
      <c r="J29" s="59"/>
      <c r="K29" s="59"/>
      <c r="L29" s="60"/>
    </row>
    <row r="30" spans="1:12">
      <c r="A30" s="59"/>
      <c r="B30" s="62"/>
      <c r="C30" s="62"/>
      <c r="D30" s="62"/>
      <c r="E30" s="62"/>
      <c r="F30" s="62"/>
      <c r="G30" s="62"/>
      <c r="H30" s="62"/>
      <c r="I30" s="62"/>
      <c r="J30" s="59"/>
      <c r="K30" s="59"/>
      <c r="L30" s="60"/>
    </row>
    <row r="31" spans="1:12">
      <c r="A31" s="59"/>
      <c r="B31" s="62"/>
      <c r="C31" s="62"/>
      <c r="D31" s="62"/>
      <c r="E31" s="62"/>
      <c r="F31" s="62"/>
      <c r="G31" s="62"/>
      <c r="H31" s="62"/>
      <c r="I31" s="62"/>
      <c r="J31" s="59"/>
      <c r="K31" s="59"/>
      <c r="L31" s="60"/>
    </row>
    <row r="32" spans="1:12">
      <c r="A32" s="59"/>
      <c r="B32" s="62"/>
      <c r="C32" s="393"/>
      <c r="D32" s="393"/>
      <c r="E32" s="393"/>
      <c r="F32" s="393"/>
      <c r="G32" s="393"/>
      <c r="H32" s="62"/>
      <c r="I32" s="62"/>
      <c r="J32" s="59"/>
      <c r="K32" s="59"/>
      <c r="L32" s="60"/>
    </row>
    <row r="33" spans="1:12">
      <c r="A33" s="59"/>
      <c r="B33" s="62"/>
      <c r="C33" s="393"/>
      <c r="D33" s="393"/>
      <c r="E33" s="393"/>
      <c r="F33" s="393"/>
      <c r="G33" s="393"/>
      <c r="H33" s="62"/>
      <c r="I33" s="62"/>
      <c r="J33" s="59"/>
      <c r="K33" s="59"/>
      <c r="L33" s="60"/>
    </row>
    <row r="34" spans="1:12">
      <c r="A34" s="59"/>
      <c r="B34" s="62"/>
      <c r="C34" s="62"/>
      <c r="D34" s="62"/>
      <c r="E34" s="62"/>
      <c r="F34" s="62"/>
      <c r="G34" s="62"/>
      <c r="H34" s="62"/>
      <c r="I34" s="62"/>
      <c r="J34" s="59"/>
      <c r="K34" s="59"/>
      <c r="L34" s="60"/>
    </row>
    <row r="35" spans="1:12">
      <c r="A35" s="59"/>
      <c r="B35" s="62"/>
      <c r="C35" s="62"/>
      <c r="D35" s="62"/>
      <c r="E35" s="62"/>
      <c r="F35" s="62"/>
      <c r="G35" s="62"/>
      <c r="H35" s="62"/>
      <c r="I35" s="62"/>
      <c r="J35" s="59"/>
      <c r="K35" s="59"/>
      <c r="L35" s="60"/>
    </row>
    <row r="36" spans="1:12">
      <c r="A36" s="59"/>
      <c r="B36" s="62"/>
      <c r="C36" s="62"/>
      <c r="D36" s="62"/>
      <c r="E36" s="62"/>
      <c r="F36" s="62"/>
      <c r="G36" s="62"/>
      <c r="H36" s="62"/>
      <c r="I36" s="62"/>
      <c r="J36" s="59"/>
      <c r="K36" s="59"/>
      <c r="L36" s="60"/>
    </row>
    <row r="37" spans="1:12">
      <c r="A37" s="59"/>
      <c r="B37" s="62"/>
      <c r="C37" s="62"/>
      <c r="D37" s="62"/>
      <c r="E37" s="62"/>
      <c r="F37" s="62"/>
      <c r="G37" s="62"/>
      <c r="H37" s="62"/>
      <c r="I37" s="62"/>
      <c r="J37" s="59"/>
      <c r="K37" s="59"/>
      <c r="L37" s="60"/>
    </row>
    <row r="38" spans="1:12">
      <c r="A38" s="59"/>
      <c r="B38" s="62"/>
      <c r="C38" s="62"/>
      <c r="D38" s="62"/>
      <c r="E38" s="62"/>
      <c r="F38" s="62"/>
      <c r="G38" s="62"/>
      <c r="H38" s="62"/>
      <c r="I38" s="62"/>
      <c r="J38" s="59"/>
      <c r="K38" s="59"/>
      <c r="L38" s="60"/>
    </row>
    <row r="39" spans="1:12">
      <c r="A39" s="59"/>
      <c r="B39" s="62"/>
      <c r="C39" s="62"/>
      <c r="D39" s="62"/>
      <c r="E39" s="62"/>
      <c r="F39" s="62"/>
      <c r="G39" s="62"/>
      <c r="H39" s="62"/>
      <c r="I39" s="62"/>
      <c r="J39" s="59"/>
      <c r="K39" s="59"/>
      <c r="L39" s="60"/>
    </row>
    <row r="40" spans="1:12">
      <c r="A40" s="59"/>
      <c r="B40" s="62"/>
      <c r="C40" s="62"/>
      <c r="D40" s="62"/>
      <c r="E40" s="62"/>
      <c r="F40" s="62"/>
      <c r="G40" s="62"/>
      <c r="H40" s="62"/>
      <c r="I40" s="62"/>
      <c r="J40" s="59"/>
      <c r="K40" s="59"/>
      <c r="L40" s="60"/>
    </row>
    <row r="41" spans="1:12">
      <c r="A41" s="59"/>
      <c r="B41" s="62"/>
      <c r="C41" s="62"/>
      <c r="D41" s="62"/>
      <c r="E41" s="62"/>
      <c r="F41" s="62"/>
      <c r="G41" s="62"/>
      <c r="H41" s="62"/>
      <c r="I41" s="62"/>
      <c r="J41" s="59"/>
      <c r="K41" s="59"/>
      <c r="L41" s="60"/>
    </row>
    <row r="42" spans="1:12">
      <c r="A42" s="59"/>
      <c r="B42" s="62"/>
      <c r="C42" s="62"/>
      <c r="D42" s="62"/>
      <c r="E42" s="62"/>
      <c r="F42" s="62"/>
      <c r="G42" s="62"/>
      <c r="H42" s="62"/>
      <c r="I42" s="62"/>
      <c r="J42" s="59"/>
      <c r="K42" s="59"/>
      <c r="L42" s="60"/>
    </row>
    <row r="43" spans="1:12">
      <c r="A43" s="59"/>
      <c r="B43" s="62"/>
      <c r="C43" s="62"/>
      <c r="D43" s="62"/>
      <c r="E43" s="62"/>
      <c r="F43" s="62"/>
      <c r="G43" s="62"/>
      <c r="H43" s="62"/>
      <c r="I43" s="62"/>
      <c r="J43" s="59"/>
      <c r="K43" s="59"/>
      <c r="L43" s="60"/>
    </row>
    <row r="44" spans="1:12">
      <c r="A44" s="59"/>
      <c r="B44" s="62"/>
      <c r="C44" s="62"/>
      <c r="D44" s="62"/>
      <c r="E44" s="62"/>
      <c r="F44" s="62"/>
      <c r="G44" s="62"/>
      <c r="H44" s="62"/>
      <c r="I44" s="62"/>
      <c r="J44" s="59"/>
      <c r="K44" s="59"/>
      <c r="L44" s="60"/>
    </row>
    <row r="45" spans="1:12">
      <c r="A45" s="59"/>
      <c r="B45" s="62"/>
      <c r="C45" s="62"/>
      <c r="D45" s="62"/>
      <c r="E45" s="62"/>
      <c r="F45" s="62"/>
      <c r="G45" s="62"/>
      <c r="H45" s="62"/>
      <c r="I45" s="62"/>
      <c r="J45" s="59"/>
      <c r="K45" s="59"/>
      <c r="L45" s="60"/>
    </row>
    <row r="46" spans="1:12">
      <c r="A46" s="59"/>
      <c r="B46" s="62"/>
      <c r="C46" s="62"/>
      <c r="D46" s="62"/>
      <c r="E46" s="62"/>
      <c r="F46" s="62"/>
      <c r="G46" s="62"/>
      <c r="H46" s="62"/>
      <c r="I46" s="62"/>
      <c r="J46" s="59"/>
      <c r="K46" s="59"/>
      <c r="L46" s="60"/>
    </row>
    <row r="47" spans="1:12" ht="15" customHeight="1">
      <c r="A47" s="59"/>
      <c r="B47" s="62"/>
      <c r="C47" s="62"/>
      <c r="D47" s="62"/>
      <c r="E47" s="62"/>
      <c r="F47" s="62"/>
      <c r="G47" s="62"/>
      <c r="H47" s="62"/>
      <c r="I47" s="62"/>
      <c r="J47" s="59"/>
      <c r="K47" s="59"/>
      <c r="L47" s="60"/>
    </row>
    <row r="48" spans="1:12" ht="23.25" customHeight="1">
      <c r="A48" s="59"/>
      <c r="B48" s="62"/>
      <c r="C48" s="62"/>
      <c r="D48" s="62"/>
      <c r="E48" s="62"/>
      <c r="F48" s="62"/>
      <c r="G48" s="63"/>
      <c r="H48" s="62"/>
      <c r="I48" s="62"/>
      <c r="J48" s="59"/>
      <c r="K48" s="59"/>
      <c r="L48" s="60"/>
    </row>
    <row r="49" spans="1:28" ht="23.25" customHeight="1">
      <c r="A49" s="59"/>
      <c r="B49" s="62"/>
      <c r="C49" s="62"/>
      <c r="D49" s="62"/>
      <c r="E49" s="62"/>
      <c r="F49" s="62"/>
      <c r="G49" s="63"/>
      <c r="H49" s="62"/>
      <c r="I49" s="62"/>
      <c r="J49" s="59"/>
      <c r="K49" s="59"/>
      <c r="L49" s="60"/>
    </row>
    <row r="50" spans="1:28" ht="23.25" customHeight="1">
      <c r="A50" s="59"/>
      <c r="B50" s="62"/>
      <c r="C50" s="62"/>
      <c r="D50" s="62"/>
      <c r="E50" s="62"/>
      <c r="F50" s="62"/>
      <c r="G50" s="63"/>
      <c r="H50" s="62"/>
      <c r="I50" s="62"/>
      <c r="J50" s="59"/>
      <c r="K50" s="59"/>
      <c r="L50" s="60"/>
    </row>
    <row r="51" spans="1:28" ht="23.25" customHeight="1">
      <c r="A51" s="59"/>
      <c r="B51" s="62"/>
      <c r="C51" s="62"/>
      <c r="D51" s="62"/>
      <c r="E51" s="62"/>
      <c r="F51" s="62"/>
      <c r="G51" s="63"/>
      <c r="H51" s="62"/>
      <c r="I51" s="62"/>
      <c r="J51" s="59"/>
      <c r="K51" s="59"/>
      <c r="L51" s="60"/>
    </row>
    <row r="52" spans="1:28" ht="23.25" customHeight="1">
      <c r="A52" s="59"/>
      <c r="B52" s="62"/>
      <c r="C52" s="62"/>
      <c r="D52" s="62"/>
      <c r="E52" s="62"/>
      <c r="F52" s="62"/>
      <c r="G52" s="63"/>
      <c r="H52" s="62"/>
      <c r="I52" s="62"/>
      <c r="J52" s="59"/>
      <c r="K52" s="59"/>
      <c r="L52" s="60"/>
    </row>
    <row r="53" spans="1:28" ht="23.25" customHeight="1">
      <c r="A53" s="59"/>
      <c r="B53" s="62"/>
      <c r="C53" s="62"/>
      <c r="D53" s="62"/>
      <c r="E53" s="62"/>
      <c r="F53" s="62"/>
      <c r="G53" s="63"/>
      <c r="H53" s="62"/>
      <c r="I53" s="62"/>
      <c r="J53" s="59"/>
      <c r="K53" s="59"/>
      <c r="L53" s="60"/>
    </row>
    <row r="54" spans="1:28" ht="23.25" customHeight="1">
      <c r="A54" s="59"/>
      <c r="B54" s="62"/>
      <c r="C54" s="62"/>
      <c r="D54" s="62"/>
      <c r="E54" s="62"/>
      <c r="F54" s="62"/>
      <c r="G54" s="63"/>
      <c r="H54" s="62"/>
      <c r="I54" s="62"/>
      <c r="J54" s="59"/>
      <c r="K54" s="59"/>
      <c r="L54" s="60"/>
    </row>
    <row r="55" spans="1:28" ht="23.25" customHeight="1">
      <c r="A55" s="59"/>
      <c r="B55" s="62"/>
      <c r="C55" s="62"/>
      <c r="D55" s="62"/>
      <c r="E55" s="62"/>
      <c r="F55" s="62"/>
      <c r="G55" s="63"/>
      <c r="H55" s="62"/>
      <c r="I55" s="62"/>
      <c r="J55" s="59"/>
      <c r="K55" s="59"/>
      <c r="L55" s="60"/>
    </row>
    <row r="56" spans="1:28" ht="15" customHeight="1">
      <c r="A56" s="59"/>
      <c r="B56" s="62"/>
      <c r="C56" s="62"/>
      <c r="D56" s="62"/>
      <c r="E56" s="62"/>
      <c r="F56" s="62"/>
      <c r="G56" s="62"/>
      <c r="H56" s="62"/>
      <c r="I56" s="62"/>
      <c r="J56" s="59"/>
      <c r="K56" s="59"/>
      <c r="L56" s="60"/>
    </row>
    <row r="57" spans="1:28" ht="14.25" customHeight="1">
      <c r="A57" s="59"/>
      <c r="B57" s="62"/>
      <c r="C57" s="62"/>
      <c r="D57" s="62"/>
      <c r="E57" s="62"/>
      <c r="F57" s="62"/>
      <c r="G57" s="62"/>
      <c r="H57" s="62"/>
      <c r="I57" s="62"/>
      <c r="J57" s="59"/>
      <c r="K57" s="59"/>
      <c r="L57" s="60"/>
      <c r="Q57" s="381" t="str">
        <f>IF('Etat des lieux'!E9='Etat des lieux'!H8,"",IF('Etat des lieux'!E9='Etat des lieux'!H7,"","LOCATION"))</f>
        <v/>
      </c>
      <c r="R57" s="381"/>
      <c r="S57" s="381"/>
      <c r="T57" s="381"/>
      <c r="U57" s="381"/>
      <c r="V57" s="381"/>
      <c r="W57" s="381"/>
      <c r="X57" s="381"/>
      <c r="Y57" s="381"/>
      <c r="Z57" s="381"/>
      <c r="AA57" s="381"/>
      <c r="AB57" s="381"/>
    </row>
    <row r="58" spans="1:28" ht="14.25" customHeight="1">
      <c r="A58" s="59"/>
      <c r="B58" s="62"/>
      <c r="C58" s="62"/>
      <c r="D58" s="62"/>
      <c r="E58" s="62"/>
      <c r="F58" s="62"/>
      <c r="G58" s="62"/>
      <c r="H58" s="62"/>
      <c r="I58" s="62"/>
      <c r="J58" s="59"/>
      <c r="K58" s="59"/>
      <c r="L58" s="60"/>
      <c r="Q58" s="381"/>
      <c r="R58" s="381"/>
      <c r="S58" s="381"/>
      <c r="T58" s="381"/>
      <c r="U58" s="381"/>
      <c r="V58" s="381"/>
      <c r="W58" s="381"/>
      <c r="X58" s="381"/>
      <c r="Y58" s="381"/>
      <c r="Z58" s="381"/>
      <c r="AA58" s="381"/>
      <c r="AB58" s="381"/>
    </row>
    <row r="59" spans="1:28" ht="14.25" customHeight="1">
      <c r="A59" s="59"/>
      <c r="K59" s="59"/>
      <c r="L59" s="60"/>
      <c r="Q59" s="381"/>
      <c r="R59" s="381"/>
      <c r="S59" s="381"/>
      <c r="T59" s="381"/>
      <c r="U59" s="381"/>
      <c r="V59" s="381"/>
      <c r="W59" s="381"/>
      <c r="X59" s="381"/>
      <c r="Y59" s="381"/>
      <c r="Z59" s="381"/>
      <c r="AA59" s="381"/>
      <c r="AB59" s="381"/>
    </row>
    <row r="60" spans="1:28" ht="14.25" customHeight="1">
      <c r="A60" s="59"/>
      <c r="B60" s="62"/>
      <c r="C60" s="62"/>
      <c r="K60" s="59"/>
      <c r="L60" s="60"/>
      <c r="Q60" s="381"/>
      <c r="R60" s="381"/>
      <c r="S60" s="381"/>
      <c r="T60" s="381"/>
      <c r="U60" s="381"/>
      <c r="V60" s="381"/>
      <c r="W60" s="381"/>
      <c r="X60" s="381"/>
      <c r="Y60" s="381"/>
      <c r="Z60" s="381"/>
      <c r="AA60" s="381"/>
      <c r="AB60" s="381"/>
    </row>
    <row r="61" spans="1:28" ht="14.25" customHeight="1">
      <c r="A61" s="59"/>
      <c r="K61" s="59"/>
      <c r="L61" s="60"/>
      <c r="Q61" s="381"/>
      <c r="R61" s="381"/>
      <c r="S61" s="381"/>
      <c r="T61" s="381"/>
      <c r="U61" s="381"/>
      <c r="V61" s="381"/>
      <c r="W61" s="381"/>
      <c r="X61" s="381"/>
      <c r="Y61" s="381"/>
      <c r="Z61" s="381"/>
      <c r="AA61" s="381"/>
      <c r="AB61" s="381"/>
    </row>
    <row r="62" spans="1:28" ht="32.25" customHeight="1">
      <c r="A62" s="59"/>
      <c r="B62" s="207" t="s">
        <v>115</v>
      </c>
      <c r="C62" s="64"/>
      <c r="D62" s="64"/>
      <c r="E62" s="64"/>
      <c r="F62" s="64"/>
      <c r="G62" s="64"/>
      <c r="H62" s="64"/>
      <c r="K62" s="59"/>
      <c r="L62" s="60"/>
      <c r="Q62" s="381"/>
      <c r="R62" s="381"/>
      <c r="S62" s="381"/>
      <c r="T62" s="381"/>
      <c r="U62" s="381"/>
      <c r="V62" s="381"/>
      <c r="W62" s="381"/>
      <c r="X62" s="381"/>
      <c r="Y62" s="381"/>
      <c r="Z62" s="381"/>
      <c r="AA62" s="381"/>
      <c r="AB62" s="381"/>
    </row>
    <row r="63" spans="1:28" ht="15" customHeight="1">
      <c r="A63" s="59"/>
      <c r="B63" s="64"/>
      <c r="C63" s="64"/>
      <c r="D63" s="64"/>
      <c r="E63" s="64"/>
      <c r="F63" s="64"/>
      <c r="G63" s="64"/>
      <c r="H63" s="64"/>
      <c r="K63" s="59"/>
      <c r="L63" s="60"/>
      <c r="Q63" s="381"/>
      <c r="R63" s="381"/>
      <c r="S63" s="381"/>
      <c r="T63" s="381"/>
      <c r="U63" s="381"/>
      <c r="V63" s="381"/>
      <c r="W63" s="381"/>
      <c r="X63" s="381"/>
      <c r="Y63" s="381"/>
      <c r="Z63" s="381"/>
      <c r="AA63" s="381"/>
      <c r="AB63" s="381"/>
    </row>
    <row r="64" spans="1:28" ht="15" customHeight="1">
      <c r="A64" s="59"/>
      <c r="C64" s="64"/>
      <c r="D64" s="64"/>
      <c r="E64" s="64"/>
      <c r="F64" s="64"/>
      <c r="G64" s="64"/>
      <c r="H64" s="64"/>
      <c r="K64" s="59"/>
      <c r="L64" s="60"/>
      <c r="Q64" s="381"/>
      <c r="R64" s="381"/>
      <c r="S64" s="381"/>
      <c r="T64" s="381"/>
      <c r="U64" s="381"/>
      <c r="V64" s="381"/>
      <c r="W64" s="381"/>
      <c r="X64" s="381"/>
      <c r="Y64" s="381"/>
      <c r="Z64" s="381"/>
      <c r="AA64" s="381"/>
      <c r="AB64" s="381"/>
    </row>
    <row r="65" spans="1:28" ht="15" customHeight="1">
      <c r="A65" s="59"/>
      <c r="B65" s="402" t="str">
        <f>'Fiche de synthèse'!AQ13</f>
        <v>Système de VEV sur un moteur asynchrone</v>
      </c>
      <c r="C65" s="402"/>
      <c r="D65" s="402"/>
      <c r="E65" s="402"/>
      <c r="F65" s="402"/>
      <c r="G65" s="402"/>
      <c r="H65" s="64"/>
      <c r="K65" s="59"/>
      <c r="L65" s="60"/>
      <c r="Q65" s="381"/>
      <c r="R65" s="381"/>
      <c r="S65" s="381"/>
      <c r="T65" s="381"/>
      <c r="U65" s="381"/>
      <c r="V65" s="381"/>
      <c r="W65" s="381"/>
      <c r="X65" s="381"/>
      <c r="Y65" s="381"/>
      <c r="Z65" s="381"/>
      <c r="AA65" s="381"/>
      <c r="AB65" s="381"/>
    </row>
    <row r="66" spans="1:28" ht="67.5" customHeight="1">
      <c r="A66" s="59"/>
      <c r="B66" s="402"/>
      <c r="C66" s="402"/>
      <c r="D66" s="402"/>
      <c r="E66" s="402"/>
      <c r="F66" s="402"/>
      <c r="G66" s="402"/>
      <c r="H66" s="64"/>
      <c r="K66" s="59"/>
      <c r="L66" s="60"/>
      <c r="Q66" s="381"/>
      <c r="R66" s="381"/>
      <c r="S66" s="381"/>
      <c r="T66" s="381"/>
      <c r="U66" s="381"/>
      <c r="V66" s="381"/>
      <c r="W66" s="381"/>
      <c r="X66" s="381"/>
      <c r="Y66" s="381"/>
      <c r="Z66" s="381"/>
      <c r="AA66" s="381"/>
      <c r="AB66" s="381"/>
    </row>
    <row r="67" spans="1:28" ht="15" customHeight="1">
      <c r="A67" s="59"/>
      <c r="B67" s="402"/>
      <c r="C67" s="402"/>
      <c r="D67" s="402"/>
      <c r="E67" s="402"/>
      <c r="F67" s="402"/>
      <c r="G67" s="402"/>
      <c r="H67" s="64"/>
      <c r="K67" s="59"/>
      <c r="L67" s="60"/>
      <c r="Q67" s="381"/>
      <c r="R67" s="381"/>
      <c r="S67" s="381"/>
      <c r="T67" s="381"/>
      <c r="U67" s="381"/>
      <c r="V67" s="381"/>
      <c r="W67" s="381"/>
      <c r="X67" s="381"/>
      <c r="Y67" s="381"/>
      <c r="Z67" s="381"/>
      <c r="AA67" s="381"/>
      <c r="AB67" s="381"/>
    </row>
    <row r="68" spans="1:28" ht="14.25" customHeight="1">
      <c r="A68" s="59"/>
      <c r="B68" s="402"/>
      <c r="C68" s="402"/>
      <c r="D68" s="402"/>
      <c r="E68" s="402"/>
      <c r="F68" s="402"/>
      <c r="G68" s="402"/>
      <c r="K68" s="59"/>
      <c r="L68" s="60"/>
      <c r="Q68" s="381"/>
      <c r="R68" s="381"/>
      <c r="S68" s="381"/>
      <c r="T68" s="381"/>
      <c r="U68" s="381"/>
      <c r="V68" s="381"/>
      <c r="W68" s="381"/>
      <c r="X68" s="381"/>
      <c r="Y68" s="381"/>
      <c r="Z68" s="381"/>
      <c r="AA68" s="381"/>
      <c r="AB68" s="381"/>
    </row>
    <row r="69" spans="1:28" ht="14.25" customHeight="1">
      <c r="A69" s="59"/>
      <c r="B69" s="402"/>
      <c r="C69" s="402"/>
      <c r="D69" s="402"/>
      <c r="E69" s="402"/>
      <c r="F69" s="402"/>
      <c r="G69" s="402"/>
      <c r="K69" s="59"/>
      <c r="L69" s="60"/>
      <c r="Q69" s="381"/>
      <c r="R69" s="381"/>
      <c r="S69" s="381"/>
      <c r="T69" s="381"/>
      <c r="U69" s="381"/>
      <c r="V69" s="381"/>
      <c r="W69" s="381"/>
      <c r="X69" s="381"/>
      <c r="Y69" s="381"/>
      <c r="Z69" s="381"/>
      <c r="AA69" s="381"/>
      <c r="AB69" s="381"/>
    </row>
    <row r="70" spans="1:28" ht="22.5" customHeight="1">
      <c r="A70" s="59"/>
      <c r="B70" s="402"/>
      <c r="C70" s="402"/>
      <c r="D70" s="402"/>
      <c r="E70" s="402"/>
      <c r="F70" s="402"/>
      <c r="G70" s="402"/>
      <c r="K70" s="59"/>
      <c r="L70" s="60"/>
      <c r="Q70" s="381"/>
      <c r="R70" s="381"/>
      <c r="S70" s="381"/>
      <c r="T70" s="381"/>
      <c r="U70" s="381"/>
      <c r="V70" s="381"/>
      <c r="W70" s="381"/>
      <c r="X70" s="381"/>
      <c r="Y70" s="381"/>
      <c r="Z70" s="381"/>
      <c r="AA70" s="381"/>
      <c r="AB70" s="381"/>
    </row>
    <row r="71" spans="1:28" ht="14.25" customHeight="1">
      <c r="A71" s="59"/>
      <c r="B71" s="402"/>
      <c r="C71" s="402"/>
      <c r="D71" s="402"/>
      <c r="E71" s="402"/>
      <c r="F71" s="402"/>
      <c r="G71" s="402"/>
      <c r="K71" s="59"/>
      <c r="L71" s="60"/>
      <c r="Q71" s="381"/>
      <c r="R71" s="381"/>
      <c r="S71" s="381"/>
      <c r="T71" s="381"/>
      <c r="U71" s="381"/>
      <c r="V71" s="381"/>
      <c r="W71" s="381"/>
      <c r="X71" s="381"/>
      <c r="Y71" s="381"/>
      <c r="Z71" s="381"/>
      <c r="AA71" s="381"/>
      <c r="AB71" s="381"/>
    </row>
    <row r="72" spans="1:28" ht="14.25" customHeight="1">
      <c r="A72" s="59"/>
      <c r="B72" s="402"/>
      <c r="C72" s="402"/>
      <c r="D72" s="402"/>
      <c r="E72" s="402"/>
      <c r="F72" s="402"/>
      <c r="G72" s="402"/>
      <c r="K72" s="59"/>
      <c r="L72" s="60"/>
      <c r="Q72" s="381"/>
      <c r="R72" s="381"/>
      <c r="S72" s="381"/>
      <c r="T72" s="381"/>
      <c r="U72" s="381"/>
      <c r="V72" s="381"/>
      <c r="W72" s="381"/>
      <c r="X72" s="381"/>
      <c r="Y72" s="381"/>
      <c r="Z72" s="381"/>
      <c r="AA72" s="381"/>
      <c r="AB72" s="381"/>
    </row>
    <row r="73" spans="1:28" ht="14.25" customHeight="1">
      <c r="A73" s="59"/>
      <c r="B73" s="402"/>
      <c r="C73" s="402"/>
      <c r="D73" s="402"/>
      <c r="E73" s="402"/>
      <c r="F73" s="402"/>
      <c r="G73" s="402"/>
      <c r="K73" s="59"/>
      <c r="L73" s="60"/>
      <c r="Q73" s="381"/>
      <c r="R73" s="381"/>
      <c r="S73" s="381"/>
      <c r="T73" s="381"/>
      <c r="U73" s="381"/>
      <c r="V73" s="381"/>
      <c r="W73" s="381"/>
      <c r="X73" s="381"/>
      <c r="Y73" s="381"/>
      <c r="Z73" s="381"/>
      <c r="AA73" s="381"/>
      <c r="AB73" s="381"/>
    </row>
    <row r="74" spans="1:28" ht="14.25" customHeight="1">
      <c r="A74" s="59"/>
      <c r="B74" s="402"/>
      <c r="C74" s="402"/>
      <c r="D74" s="402"/>
      <c r="E74" s="402"/>
      <c r="F74" s="402"/>
      <c r="G74" s="402"/>
      <c r="K74" s="59"/>
      <c r="L74" s="60"/>
      <c r="Q74" s="381"/>
      <c r="R74" s="381"/>
      <c r="S74" s="381"/>
      <c r="T74" s="381"/>
      <c r="U74" s="381"/>
      <c r="V74" s="381"/>
      <c r="W74" s="381"/>
      <c r="X74" s="381"/>
      <c r="Y74" s="381"/>
      <c r="Z74" s="381"/>
      <c r="AA74" s="381"/>
      <c r="AB74" s="381"/>
    </row>
    <row r="75" spans="1:28" ht="14.25" customHeight="1">
      <c r="A75" s="59"/>
      <c r="B75" s="402"/>
      <c r="C75" s="402"/>
      <c r="D75" s="402"/>
      <c r="E75" s="402"/>
      <c r="F75" s="402"/>
      <c r="G75" s="402"/>
      <c r="K75" s="59"/>
      <c r="L75" s="60"/>
      <c r="Q75" s="381"/>
      <c r="R75" s="381"/>
      <c r="S75" s="381"/>
      <c r="T75" s="381"/>
      <c r="U75" s="381"/>
      <c r="V75" s="381"/>
      <c r="W75" s="381"/>
      <c r="X75" s="381"/>
      <c r="Y75" s="381"/>
      <c r="Z75" s="381"/>
      <c r="AA75" s="381"/>
      <c r="AB75" s="381"/>
    </row>
    <row r="76" spans="1:28" ht="14.25" customHeight="1">
      <c r="A76" s="59"/>
      <c r="B76" s="402"/>
      <c r="C76" s="402"/>
      <c r="D76" s="402"/>
      <c r="E76" s="402"/>
      <c r="F76" s="402"/>
      <c r="G76" s="402"/>
      <c r="K76" s="59"/>
      <c r="L76" s="60"/>
      <c r="Q76" s="381"/>
      <c r="R76" s="381"/>
      <c r="S76" s="381"/>
      <c r="T76" s="381"/>
      <c r="U76" s="381"/>
      <c r="V76" s="381"/>
      <c r="W76" s="381"/>
      <c r="X76" s="381"/>
      <c r="Y76" s="381"/>
      <c r="Z76" s="381"/>
      <c r="AA76" s="381"/>
      <c r="AB76" s="381"/>
    </row>
    <row r="77" spans="1:28" ht="14.25" customHeight="1">
      <c r="A77" s="59"/>
      <c r="B77" s="402"/>
      <c r="C77" s="402"/>
      <c r="D77" s="402"/>
      <c r="E77" s="402"/>
      <c r="F77" s="402"/>
      <c r="G77" s="402"/>
      <c r="K77" s="59"/>
      <c r="L77" s="60"/>
      <c r="Q77" s="381"/>
      <c r="R77" s="381"/>
      <c r="S77" s="381"/>
      <c r="T77" s="381"/>
      <c r="U77" s="381"/>
      <c r="V77" s="381"/>
      <c r="W77" s="381"/>
      <c r="X77" s="381"/>
      <c r="Y77" s="381"/>
      <c r="Z77" s="381"/>
      <c r="AA77" s="381"/>
      <c r="AB77" s="381"/>
    </row>
    <row r="78" spans="1:28" ht="14.25" customHeight="1">
      <c r="A78" s="59"/>
      <c r="B78" s="402"/>
      <c r="C78" s="402"/>
      <c r="D78" s="402"/>
      <c r="E78" s="402"/>
      <c r="F78" s="402"/>
      <c r="G78" s="402"/>
      <c r="K78" s="59"/>
      <c r="L78" s="60"/>
      <c r="Q78" s="381"/>
      <c r="R78" s="381"/>
      <c r="S78" s="381"/>
      <c r="T78" s="381"/>
      <c r="U78" s="381"/>
      <c r="V78" s="381"/>
      <c r="W78" s="381"/>
      <c r="X78" s="381"/>
      <c r="Y78" s="381"/>
      <c r="Z78" s="381"/>
      <c r="AA78" s="381"/>
      <c r="AB78" s="381"/>
    </row>
    <row r="79" spans="1:28" ht="14.25" customHeight="1">
      <c r="A79" s="59"/>
      <c r="B79" s="402"/>
      <c r="C79" s="402"/>
      <c r="D79" s="402"/>
      <c r="E79" s="402"/>
      <c r="F79" s="402"/>
      <c r="G79" s="402"/>
      <c r="K79" s="59"/>
      <c r="L79" s="60"/>
      <c r="Q79" s="381"/>
      <c r="R79" s="381"/>
      <c r="S79" s="381"/>
      <c r="T79" s="381"/>
      <c r="U79" s="381"/>
      <c r="V79" s="381"/>
      <c r="W79" s="381"/>
      <c r="X79" s="381"/>
      <c r="Y79" s="381"/>
      <c r="Z79" s="381"/>
      <c r="AA79" s="381"/>
      <c r="AB79" s="381"/>
    </row>
    <row r="80" spans="1:28" ht="14.25" customHeight="1">
      <c r="A80" s="59"/>
      <c r="B80" s="402"/>
      <c r="C80" s="402"/>
      <c r="D80" s="402"/>
      <c r="E80" s="402"/>
      <c r="F80" s="402"/>
      <c r="G80" s="402"/>
      <c r="K80" s="59"/>
      <c r="L80" s="60"/>
      <c r="Q80" s="381"/>
      <c r="R80" s="381"/>
      <c r="S80" s="381"/>
      <c r="T80" s="381"/>
      <c r="U80" s="381"/>
      <c r="V80" s="381"/>
      <c r="W80" s="381"/>
      <c r="X80" s="381"/>
      <c r="Y80" s="381"/>
      <c r="Z80" s="381"/>
      <c r="AA80" s="381"/>
      <c r="AB80" s="381"/>
    </row>
    <row r="81" spans="1:28" ht="14.25" customHeight="1">
      <c r="A81" s="59"/>
      <c r="B81" s="402"/>
      <c r="C81" s="402"/>
      <c r="D81" s="402"/>
      <c r="E81" s="402"/>
      <c r="F81" s="402"/>
      <c r="G81" s="402"/>
      <c r="K81" s="59"/>
      <c r="L81" s="60"/>
      <c r="Q81" s="381"/>
      <c r="R81" s="381"/>
      <c r="S81" s="381"/>
      <c r="T81" s="381"/>
      <c r="U81" s="381"/>
      <c r="V81" s="381"/>
      <c r="W81" s="381"/>
      <c r="X81" s="381"/>
      <c r="Y81" s="381"/>
      <c r="Z81" s="381"/>
      <c r="AA81" s="381"/>
      <c r="AB81" s="381"/>
    </row>
    <row r="82" spans="1:28" ht="14.25" customHeight="1">
      <c r="A82" s="59"/>
      <c r="B82" s="402"/>
      <c r="C82" s="402"/>
      <c r="D82" s="402"/>
      <c r="E82" s="402"/>
      <c r="F82" s="402"/>
      <c r="G82" s="402"/>
      <c r="K82" s="59"/>
      <c r="L82" s="60"/>
      <c r="Q82" s="381"/>
      <c r="R82" s="381"/>
      <c r="S82" s="381"/>
      <c r="T82" s="381"/>
      <c r="U82" s="381"/>
      <c r="V82" s="381"/>
      <c r="W82" s="381"/>
      <c r="X82" s="381"/>
      <c r="Y82" s="381"/>
      <c r="Z82" s="381"/>
      <c r="AA82" s="381"/>
      <c r="AB82" s="381"/>
    </row>
    <row r="83" spans="1:28">
      <c r="A83" s="59"/>
      <c r="B83" s="402"/>
      <c r="C83" s="402"/>
      <c r="D83" s="402"/>
      <c r="E83" s="402"/>
      <c r="F83" s="402"/>
      <c r="G83" s="402"/>
      <c r="K83" s="59"/>
      <c r="L83" s="60"/>
    </row>
    <row r="84" spans="1:28">
      <c r="A84" s="59"/>
      <c r="B84" s="402"/>
      <c r="C84" s="402"/>
      <c r="D84" s="402"/>
      <c r="E84" s="402"/>
      <c r="F84" s="402"/>
      <c r="G84" s="402"/>
      <c r="K84" s="59"/>
      <c r="L84" s="60"/>
    </row>
    <row r="85" spans="1:28">
      <c r="A85" s="59"/>
      <c r="B85" s="402"/>
      <c r="C85" s="402"/>
      <c r="D85" s="402"/>
      <c r="E85" s="402"/>
      <c r="F85" s="402"/>
      <c r="G85" s="402"/>
      <c r="K85" s="59"/>
      <c r="L85" s="60"/>
    </row>
    <row r="86" spans="1:28">
      <c r="A86" s="59"/>
      <c r="B86" s="402"/>
      <c r="C86" s="402"/>
      <c r="D86" s="402"/>
      <c r="E86" s="402"/>
      <c r="F86" s="402"/>
      <c r="G86" s="402"/>
      <c r="K86" s="59"/>
      <c r="L86" s="60"/>
    </row>
    <row r="87" spans="1:28">
      <c r="A87" s="59"/>
      <c r="B87" s="402"/>
      <c r="C87" s="402"/>
      <c r="D87" s="402"/>
      <c r="E87" s="402"/>
      <c r="F87" s="402"/>
      <c r="G87" s="402"/>
      <c r="K87" s="59"/>
      <c r="L87" s="60"/>
    </row>
    <row r="88" spans="1:28">
      <c r="A88" s="59"/>
      <c r="B88" s="402"/>
      <c r="C88" s="402"/>
      <c r="D88" s="402"/>
      <c r="E88" s="402"/>
      <c r="F88" s="402"/>
      <c r="G88" s="402"/>
      <c r="K88" s="59"/>
      <c r="L88" s="60"/>
    </row>
    <row r="89" spans="1:28">
      <c r="A89" s="59"/>
      <c r="B89" s="62"/>
      <c r="J89" s="59"/>
      <c r="K89" s="59"/>
      <c r="L89" s="60"/>
    </row>
    <row r="90" spans="1:28">
      <c r="A90" s="59"/>
      <c r="B90" s="62"/>
      <c r="C90" s="62"/>
      <c r="D90" s="62"/>
      <c r="E90" s="62"/>
      <c r="F90" s="62"/>
      <c r="G90" s="62"/>
      <c r="H90" s="62"/>
      <c r="I90" s="62"/>
      <c r="J90" s="59"/>
      <c r="K90" s="59"/>
      <c r="L90" s="60"/>
    </row>
    <row r="91" spans="1:28" ht="29.25" customHeight="1">
      <c r="A91" s="59"/>
      <c r="G91" s="65"/>
      <c r="H91" s="65"/>
      <c r="I91" s="62"/>
      <c r="J91" s="59"/>
      <c r="K91" s="59"/>
      <c r="L91" s="60"/>
    </row>
    <row r="92" spans="1:28" ht="15" customHeight="1">
      <c r="A92" s="59"/>
      <c r="B92" s="65"/>
      <c r="C92" s="65"/>
      <c r="D92" s="65"/>
      <c r="E92" s="65"/>
      <c r="F92" s="65"/>
      <c r="G92" s="65"/>
      <c r="H92" s="65"/>
      <c r="I92" s="62"/>
      <c r="J92" s="59"/>
      <c r="K92" s="59"/>
      <c r="L92" s="60"/>
    </row>
    <row r="93" spans="1:28" ht="15" customHeight="1">
      <c r="A93" s="59"/>
      <c r="B93" s="65"/>
      <c r="C93" s="65"/>
      <c r="D93" s="65"/>
      <c r="E93" s="65"/>
      <c r="F93" s="65"/>
      <c r="G93" s="65"/>
      <c r="H93" s="65"/>
      <c r="I93" s="62"/>
      <c r="J93" s="59"/>
      <c r="K93" s="59"/>
      <c r="L93" s="60"/>
    </row>
    <row r="94" spans="1:28" ht="15" customHeight="1">
      <c r="A94" s="59"/>
      <c r="B94" s="65"/>
      <c r="C94" s="65"/>
      <c r="D94" s="65"/>
      <c r="E94" s="65"/>
      <c r="F94" s="65"/>
      <c r="G94" s="65"/>
      <c r="H94" s="65"/>
      <c r="I94" s="62"/>
      <c r="J94" s="59"/>
      <c r="K94" s="59"/>
      <c r="L94" s="60"/>
    </row>
    <row r="95" spans="1:28">
      <c r="A95" s="59"/>
      <c r="B95" s="62"/>
      <c r="C95" s="62"/>
      <c r="D95" s="62"/>
      <c r="E95" s="62"/>
      <c r="F95" s="62"/>
      <c r="G95" s="62"/>
      <c r="H95" s="62"/>
      <c r="I95" s="62"/>
      <c r="J95" s="59"/>
      <c r="K95" s="59"/>
      <c r="L95" s="60"/>
    </row>
    <row r="96" spans="1:28">
      <c r="A96" s="59"/>
      <c r="B96" s="62"/>
      <c r="C96" s="62"/>
      <c r="D96" s="62"/>
      <c r="E96" s="62"/>
      <c r="F96" s="62"/>
      <c r="G96" s="62"/>
      <c r="H96" s="62"/>
      <c r="I96" s="62"/>
      <c r="J96" s="59"/>
      <c r="K96" s="59"/>
      <c r="L96" s="60"/>
    </row>
    <row r="97" spans="1:12">
      <c r="A97" s="59"/>
      <c r="B97" s="62"/>
      <c r="C97" s="62"/>
      <c r="D97" s="62"/>
      <c r="E97" s="62"/>
      <c r="F97" s="62"/>
      <c r="G97" s="62"/>
      <c r="H97" s="62"/>
      <c r="I97" s="62"/>
      <c r="J97" s="59"/>
      <c r="K97" s="59"/>
      <c r="L97" s="60"/>
    </row>
    <row r="98" spans="1:12" ht="45.75" customHeight="1">
      <c r="A98" s="59"/>
      <c r="B98" s="391"/>
      <c r="C98" s="391"/>
      <c r="D98" s="391"/>
      <c r="E98" s="391"/>
      <c r="F98" s="391"/>
      <c r="G98" s="62"/>
      <c r="H98" s="62"/>
      <c r="I98" s="62"/>
      <c r="J98" s="59"/>
      <c r="K98" s="59"/>
      <c r="L98" s="60"/>
    </row>
    <row r="99" spans="1:12">
      <c r="A99" s="59"/>
      <c r="B99" s="391"/>
      <c r="C99" s="391"/>
      <c r="D99" s="391"/>
      <c r="E99" s="391"/>
      <c r="F99" s="391"/>
      <c r="G99" s="62"/>
      <c r="H99" s="62"/>
      <c r="I99" s="62"/>
      <c r="J99" s="59"/>
      <c r="K99" s="59"/>
      <c r="L99" s="60"/>
    </row>
    <row r="100" spans="1:12">
      <c r="A100" s="59"/>
      <c r="B100" s="391"/>
      <c r="C100" s="391"/>
      <c r="D100" s="391"/>
      <c r="E100" s="391"/>
      <c r="F100" s="391"/>
      <c r="G100" s="62"/>
      <c r="H100" s="62"/>
      <c r="I100" s="62"/>
      <c r="J100" s="59"/>
      <c r="K100" s="59"/>
      <c r="L100" s="60"/>
    </row>
    <row r="101" spans="1:12">
      <c r="A101" s="59"/>
      <c r="B101" s="391"/>
      <c r="C101" s="391"/>
      <c r="D101" s="391"/>
      <c r="E101" s="391"/>
      <c r="F101" s="391"/>
      <c r="G101" s="62"/>
      <c r="H101" s="62"/>
      <c r="I101" s="62"/>
      <c r="J101" s="59"/>
      <c r="K101" s="59"/>
      <c r="L101" s="60"/>
    </row>
    <row r="102" spans="1:12">
      <c r="A102" s="59"/>
      <c r="G102" s="62"/>
      <c r="H102" s="62"/>
      <c r="I102" s="62"/>
      <c r="J102" s="59"/>
      <c r="K102" s="59"/>
      <c r="L102" s="60"/>
    </row>
    <row r="103" spans="1:12">
      <c r="A103" s="59"/>
      <c r="B103" s="62"/>
      <c r="C103" s="62"/>
      <c r="D103" s="62"/>
      <c r="E103" s="62"/>
      <c r="F103" s="62"/>
      <c r="G103" s="62"/>
      <c r="H103" s="62"/>
      <c r="I103" s="62"/>
      <c r="J103" s="59"/>
      <c r="K103" s="59"/>
      <c r="L103" s="60"/>
    </row>
    <row r="104" spans="1:12">
      <c r="A104" s="59"/>
      <c r="B104" s="62"/>
      <c r="C104" s="62"/>
      <c r="D104" s="62"/>
      <c r="E104" s="62"/>
      <c r="F104" s="62"/>
      <c r="G104" s="62"/>
      <c r="H104" s="62"/>
      <c r="I104" s="62"/>
      <c r="J104" s="59"/>
      <c r="K104" s="59"/>
      <c r="L104" s="60"/>
    </row>
    <row r="105" spans="1:12">
      <c r="A105" s="59"/>
      <c r="B105" s="62"/>
      <c r="C105" s="62"/>
      <c r="D105" s="62"/>
      <c r="E105" s="62"/>
      <c r="F105" s="62"/>
      <c r="G105" s="400" t="s">
        <v>119</v>
      </c>
      <c r="H105" s="401"/>
      <c r="I105" s="62"/>
      <c r="J105" s="59"/>
      <c r="K105" s="59"/>
      <c r="L105" s="60"/>
    </row>
    <row r="106" spans="1:12" ht="21" customHeight="1">
      <c r="A106" s="59"/>
      <c r="B106" s="99" t="s">
        <v>225</v>
      </c>
      <c r="C106" s="99"/>
      <c r="D106" s="99"/>
      <c r="E106" s="62"/>
      <c r="F106" s="62"/>
      <c r="G106" s="401"/>
      <c r="H106" s="401"/>
      <c r="I106" s="62"/>
      <c r="J106" s="59"/>
      <c r="K106" s="59"/>
      <c r="L106" s="60"/>
    </row>
    <row r="107" spans="1:12" ht="19.5" customHeight="1">
      <c r="A107" s="59"/>
      <c r="B107" s="99" t="s">
        <v>136</v>
      </c>
      <c r="C107" s="99" t="s">
        <v>246</v>
      </c>
      <c r="G107" s="401"/>
      <c r="H107" s="401"/>
      <c r="I107" s="62"/>
      <c r="J107" s="59"/>
      <c r="K107" s="59"/>
      <c r="L107" s="60"/>
    </row>
    <row r="108" spans="1:12" ht="19.5" customHeight="1">
      <c r="A108" s="59"/>
      <c r="B108" s="99"/>
      <c r="C108" s="99"/>
      <c r="G108" s="117"/>
      <c r="H108" s="117"/>
      <c r="I108" s="62"/>
      <c r="J108" s="59"/>
      <c r="K108" s="59"/>
      <c r="L108" s="60"/>
    </row>
    <row r="109" spans="1:12" ht="19.5" customHeight="1">
      <c r="A109" s="59"/>
      <c r="B109" s="99"/>
      <c r="C109" s="99"/>
      <c r="G109" s="117"/>
      <c r="H109" s="117"/>
      <c r="I109" s="62"/>
      <c r="J109" s="59"/>
      <c r="K109" s="59"/>
      <c r="L109" s="60"/>
    </row>
    <row r="110" spans="1:12">
      <c r="A110" s="59"/>
      <c r="B110" s="59"/>
      <c r="C110" s="59"/>
      <c r="D110" s="59"/>
      <c r="E110" s="59"/>
      <c r="F110" s="59"/>
      <c r="G110" s="59"/>
      <c r="H110" s="59"/>
      <c r="I110" s="59"/>
      <c r="J110" s="59"/>
      <c r="K110" s="59"/>
      <c r="L110" s="59"/>
    </row>
    <row r="111" spans="1:12">
      <c r="A111" s="59"/>
      <c r="B111" s="59"/>
      <c r="C111" s="59"/>
      <c r="D111" s="59"/>
      <c r="E111" s="59"/>
      <c r="F111" s="59"/>
      <c r="G111" s="59"/>
      <c r="H111" s="59"/>
      <c r="I111" s="59"/>
      <c r="J111" s="59"/>
      <c r="K111" s="59"/>
      <c r="L111" s="59"/>
    </row>
    <row r="112" spans="1:12">
      <c r="A112" s="59"/>
      <c r="B112" s="59"/>
      <c r="C112" s="59"/>
      <c r="D112" s="59"/>
      <c r="E112" s="59"/>
      <c r="F112" s="59"/>
      <c r="G112" s="59"/>
      <c r="H112" s="59"/>
      <c r="I112" s="59"/>
      <c r="J112" s="59"/>
      <c r="K112" s="59"/>
      <c r="L112" s="59"/>
    </row>
    <row r="113" spans="1:66">
      <c r="A113" s="59"/>
      <c r="B113" s="59"/>
      <c r="C113" s="59"/>
      <c r="D113" s="59"/>
      <c r="E113" s="59"/>
      <c r="F113" s="59"/>
      <c r="G113" s="59"/>
      <c r="H113" s="59"/>
      <c r="I113" s="59"/>
      <c r="J113" s="59"/>
      <c r="K113" s="59"/>
      <c r="L113" s="59"/>
    </row>
    <row r="114" spans="1:66" ht="14.25" customHeight="1">
      <c r="A114" s="59"/>
      <c r="B114" s="403" t="str">
        <f>"La société "&amp;'Etat des lieux'!E14&amp;" a confié à Capital Energy l’estimation du volume de Certificats d’Economies d’Energie (C2E) générés par les travaux sur centrale de compression d'air pour le compte de la société "&amp;'Etat des lieux'!E4&amp;", identifiée par le numéro SIREN "&amp;'Etat des lieux'!E5&amp;" dans le département "&amp;'Etat des lieux'!E8&amp;"."</f>
        <v>La société SFACS INDUSTRIE a confié à Capital Energy l’estimation du volume de Certificats d’Economies d’Energie (C2E) générés par les travaux sur centrale de compression d'air pour le compte de la société REY FRERES, identifiée par le numéro SIREN 653 680 744 dans le département 38.</v>
      </c>
      <c r="C114" s="403"/>
      <c r="D114" s="403"/>
      <c r="E114" s="403"/>
      <c r="F114" s="403"/>
      <c r="G114" s="403"/>
      <c r="H114" s="403"/>
      <c r="I114" s="110"/>
      <c r="J114" s="59"/>
      <c r="K114" s="59"/>
      <c r="L114" s="59"/>
    </row>
    <row r="115" spans="1:66" ht="23.25" customHeight="1">
      <c r="A115" s="59"/>
      <c r="B115" s="403"/>
      <c r="C115" s="403"/>
      <c r="D115" s="403"/>
      <c r="E115" s="403"/>
      <c r="F115" s="403"/>
      <c r="G115" s="403"/>
      <c r="H115" s="403"/>
      <c r="I115" s="110"/>
      <c r="J115" s="59"/>
      <c r="K115" s="59"/>
      <c r="L115" s="59"/>
    </row>
    <row r="116" spans="1:66" ht="14.25" customHeight="1">
      <c r="A116" s="59"/>
      <c r="B116" s="403"/>
      <c r="C116" s="403"/>
      <c r="D116" s="403"/>
      <c r="E116" s="403"/>
      <c r="F116" s="403"/>
      <c r="G116" s="403"/>
      <c r="H116" s="403"/>
      <c r="I116" s="110"/>
      <c r="J116" s="59"/>
      <c r="K116" s="59"/>
      <c r="L116" s="59"/>
    </row>
    <row r="117" spans="1:66" ht="25.5" customHeight="1">
      <c r="A117" s="59"/>
      <c r="B117" s="403"/>
      <c r="C117" s="403"/>
      <c r="D117" s="403"/>
      <c r="E117" s="403"/>
      <c r="F117" s="403"/>
      <c r="G117" s="403"/>
      <c r="H117" s="403"/>
      <c r="I117" s="110"/>
      <c r="J117" s="59"/>
      <c r="K117" s="59"/>
      <c r="L117" s="59"/>
      <c r="BJ117" s="59"/>
      <c r="BK117" s="59"/>
      <c r="BL117" s="59"/>
      <c r="BM117" s="59"/>
      <c r="BN117" s="59"/>
    </row>
    <row r="118" spans="1:66" ht="22.5">
      <c r="A118" s="59"/>
      <c r="B118" s="208" t="str">
        <f>"Notre estimation est basée sur les éléments transmis via "&amp;'Etat des lieux'!E13&amp;"."</f>
        <v>Notre estimation est basée sur les éléments transmis via alain balazard.</v>
      </c>
      <c r="C118" s="99"/>
      <c r="D118" s="99"/>
      <c r="E118" s="99"/>
      <c r="F118" s="99"/>
      <c r="G118" s="99"/>
      <c r="H118" s="99"/>
      <c r="I118" s="99"/>
      <c r="J118" s="59"/>
      <c r="K118" s="59"/>
      <c r="L118" s="59"/>
      <c r="BJ118" s="59"/>
      <c r="BK118" s="59"/>
      <c r="BL118" s="59"/>
      <c r="BM118" s="59"/>
      <c r="BN118" s="59"/>
    </row>
    <row r="119" spans="1:66" ht="19.5">
      <c r="A119" s="59"/>
      <c r="B119" s="99"/>
      <c r="C119" s="99"/>
      <c r="D119" s="99"/>
      <c r="E119" s="99"/>
      <c r="F119" s="99"/>
      <c r="G119" s="99"/>
      <c r="H119" s="99"/>
      <c r="I119" s="99"/>
      <c r="J119" s="59"/>
      <c r="K119" s="59"/>
      <c r="L119" s="59"/>
      <c r="BJ119" s="59"/>
      <c r="BK119" s="59"/>
      <c r="BL119" s="59"/>
      <c r="BM119" s="59"/>
      <c r="BN119" s="59"/>
    </row>
    <row r="120" spans="1:66" ht="19.5">
      <c r="A120" s="59"/>
      <c r="B120" s="99"/>
      <c r="C120" s="99"/>
      <c r="D120" s="99"/>
      <c r="E120" s="99"/>
      <c r="F120" s="99"/>
      <c r="G120" s="99"/>
      <c r="H120" s="99"/>
      <c r="I120" s="99"/>
      <c r="J120" s="59"/>
      <c r="K120" s="59"/>
      <c r="L120" s="59"/>
      <c r="BJ120" s="59"/>
      <c r="BK120" s="59"/>
      <c r="BL120" s="59"/>
      <c r="BM120" s="59"/>
      <c r="BN120" s="59"/>
    </row>
    <row r="121" spans="1:66" ht="13.5" customHeight="1">
      <c r="A121" s="59"/>
      <c r="J121" s="59"/>
      <c r="K121" s="59"/>
      <c r="L121" s="59"/>
      <c r="BJ121" s="59"/>
      <c r="BK121" s="59"/>
      <c r="BL121" s="59"/>
      <c r="BM121" s="59"/>
      <c r="BN121" s="59"/>
    </row>
    <row r="122" spans="1:66" ht="13.5" customHeight="1">
      <c r="A122" s="59"/>
      <c r="J122" s="59"/>
      <c r="K122" s="59"/>
      <c r="L122" s="59"/>
      <c r="BJ122" s="59"/>
      <c r="BK122" s="59"/>
      <c r="BL122" s="59"/>
      <c r="BM122" s="59"/>
      <c r="BN122" s="59"/>
    </row>
    <row r="123" spans="1:66" ht="13.5" customHeight="1">
      <c r="A123" s="59"/>
      <c r="B123" s="404" t="str">
        <f>'Fiche de synthèse'!AG9</f>
        <v xml:space="preserve">La puissance du système de VEV installé doit être inférieure ou égale à 3 MW. </v>
      </c>
      <c r="C123" s="404"/>
      <c r="D123" s="404"/>
      <c r="E123" s="404"/>
      <c r="F123" s="404"/>
      <c r="G123" s="404"/>
      <c r="H123" s="404"/>
      <c r="I123" s="404"/>
      <c r="J123" s="59"/>
      <c r="K123" s="59"/>
      <c r="L123" s="59"/>
      <c r="BJ123" s="59"/>
      <c r="BK123" s="59"/>
      <c r="BL123" s="59"/>
      <c r="BM123" s="59"/>
      <c r="BN123" s="59"/>
    </row>
    <row r="124" spans="1:66" ht="13.5" customHeight="1">
      <c r="A124" s="59"/>
      <c r="B124" s="404"/>
      <c r="C124" s="404"/>
      <c r="D124" s="404"/>
      <c r="E124" s="404"/>
      <c r="F124" s="404"/>
      <c r="G124" s="404"/>
      <c r="H124" s="404"/>
      <c r="I124" s="404"/>
      <c r="J124" s="59"/>
      <c r="K124" s="59"/>
      <c r="L124" s="59"/>
      <c r="BJ124" s="59"/>
      <c r="BK124" s="59"/>
      <c r="BL124" s="59"/>
      <c r="BM124" s="59"/>
      <c r="BN124" s="59"/>
    </row>
    <row r="125" spans="1:66" ht="13.5" customHeight="1">
      <c r="A125" s="59"/>
      <c r="B125" s="404"/>
      <c r="C125" s="404"/>
      <c r="D125" s="404"/>
      <c r="E125" s="404"/>
      <c r="F125" s="404"/>
      <c r="G125" s="404"/>
      <c r="H125" s="404"/>
      <c r="I125" s="404"/>
      <c r="J125" s="59"/>
      <c r="K125" s="59"/>
      <c r="L125" s="59"/>
      <c r="BJ125" s="59"/>
      <c r="BK125" s="59"/>
      <c r="BL125" s="59"/>
      <c r="BM125" s="59"/>
      <c r="BN125" s="59"/>
    </row>
    <row r="126" spans="1:66" ht="13.5" customHeight="1">
      <c r="A126" s="59"/>
      <c r="B126" s="404"/>
      <c r="C126" s="404"/>
      <c r="D126" s="404"/>
      <c r="E126" s="404"/>
      <c r="F126" s="404"/>
      <c r="G126" s="404"/>
      <c r="H126" s="404"/>
      <c r="I126" s="404"/>
      <c r="J126" s="59"/>
      <c r="K126" s="59"/>
      <c r="L126" s="59"/>
      <c r="BJ126" s="59"/>
      <c r="BK126" s="59"/>
      <c r="BL126" s="59"/>
      <c r="BM126" s="59"/>
      <c r="BN126" s="59"/>
    </row>
    <row r="127" spans="1:66" ht="27" customHeight="1">
      <c r="B127" s="404"/>
      <c r="C127" s="404"/>
      <c r="D127" s="404"/>
      <c r="E127" s="404"/>
      <c r="F127" s="404"/>
      <c r="G127" s="404"/>
      <c r="H127" s="404"/>
      <c r="I127" s="404"/>
      <c r="AE127" s="66"/>
      <c r="AF127" s="66"/>
      <c r="BJ127" s="59"/>
      <c r="BK127" s="59"/>
      <c r="BL127" s="59"/>
      <c r="BM127" s="59"/>
      <c r="BN127" s="59"/>
    </row>
    <row r="128" spans="1:66" ht="71.25" customHeight="1">
      <c r="B128" s="404"/>
      <c r="C128" s="404"/>
      <c r="D128" s="404"/>
      <c r="E128" s="404"/>
      <c r="F128" s="404"/>
      <c r="G128" s="404"/>
      <c r="H128" s="404"/>
      <c r="I128" s="404"/>
    </row>
    <row r="129" spans="2:26" ht="36" customHeight="1">
      <c r="B129" s="404" t="s">
        <v>226</v>
      </c>
      <c r="C129" s="404"/>
      <c r="D129" s="404"/>
      <c r="E129" s="404"/>
      <c r="F129" s="404"/>
      <c r="G129" s="404"/>
      <c r="H129" s="404"/>
      <c r="I129" s="404"/>
    </row>
    <row r="130" spans="2:26" ht="197.25" customHeight="1">
      <c r="B130" s="404"/>
      <c r="C130" s="404"/>
      <c r="D130" s="404"/>
      <c r="E130" s="404"/>
      <c r="F130" s="404"/>
      <c r="G130" s="404"/>
      <c r="H130" s="404"/>
      <c r="I130" s="404"/>
    </row>
    <row r="131" spans="2:26" ht="15" customHeight="1">
      <c r="J131" s="67"/>
      <c r="K131" s="67"/>
    </row>
    <row r="132" spans="2:26" ht="15" customHeight="1">
      <c r="J132" s="67"/>
      <c r="K132" s="67"/>
    </row>
    <row r="133" spans="2:26" ht="15" customHeight="1">
      <c r="J133" s="67"/>
      <c r="K133" s="67"/>
    </row>
    <row r="134" spans="2:26" ht="15" customHeight="1">
      <c r="J134" s="67"/>
      <c r="K134" s="67"/>
    </row>
    <row r="135" spans="2:26" ht="15" customHeight="1">
      <c r="J135" s="67"/>
      <c r="K135" s="67"/>
    </row>
    <row r="136" spans="2:26" ht="21.75" customHeight="1">
      <c r="B136" s="403" t="s">
        <v>227</v>
      </c>
      <c r="C136" s="403"/>
      <c r="D136" s="403"/>
      <c r="E136" s="403"/>
      <c r="F136" s="403"/>
      <c r="G136" s="403"/>
      <c r="H136" s="403"/>
      <c r="J136" s="67"/>
      <c r="K136" s="67"/>
    </row>
    <row r="137" spans="2:26" ht="21.75" customHeight="1">
      <c r="B137" s="403"/>
      <c r="C137" s="403"/>
      <c r="D137" s="403"/>
      <c r="E137" s="403"/>
      <c r="F137" s="403"/>
      <c r="G137" s="403"/>
      <c r="H137" s="403"/>
      <c r="J137" s="67"/>
      <c r="K137" s="67"/>
    </row>
    <row r="138" spans="2:26" ht="26.25" customHeight="1">
      <c r="B138" s="403" t="s">
        <v>228</v>
      </c>
      <c r="C138" s="403"/>
      <c r="D138" s="403"/>
      <c r="E138" s="403"/>
      <c r="F138" s="403"/>
      <c r="G138" s="403"/>
      <c r="H138" s="403"/>
      <c r="J138" s="67"/>
      <c r="K138" s="67"/>
    </row>
    <row r="139" spans="2:26" ht="36" customHeight="1">
      <c r="B139" s="403"/>
      <c r="C139" s="403"/>
      <c r="D139" s="403"/>
      <c r="E139" s="403"/>
      <c r="F139" s="403"/>
      <c r="G139" s="403"/>
      <c r="H139" s="403"/>
      <c r="J139" s="67"/>
      <c r="K139" s="67"/>
      <c r="U139" s="61" t="s">
        <v>88</v>
      </c>
    </row>
    <row r="140" spans="2:26" ht="17.25" customHeight="1"/>
    <row r="141" spans="2:26" ht="40.5" customHeight="1">
      <c r="B141" s="75" t="s">
        <v>25</v>
      </c>
      <c r="C141" s="76" t="s">
        <v>33</v>
      </c>
      <c r="D141" s="76" t="s">
        <v>34</v>
      </c>
      <c r="E141" s="76" t="s">
        <v>35</v>
      </c>
      <c r="F141" s="394"/>
      <c r="G141" s="75" t="s">
        <v>32</v>
      </c>
      <c r="H141" s="76" t="s">
        <v>206</v>
      </c>
    </row>
    <row r="142" spans="2:26" ht="27" customHeight="1">
      <c r="B142" s="397" t="s">
        <v>112</v>
      </c>
      <c r="C142" s="77" t="str">
        <f>'Fiche de synthèse'!B12</f>
        <v xml:space="preserve">Air comprimé </v>
      </c>
      <c r="D142" s="78">
        <f>'Fiche de synthèse'!C12</f>
        <v>11</v>
      </c>
      <c r="E142" s="79">
        <f>'Fiche de synthèse'!D12</f>
        <v>1</v>
      </c>
      <c r="F142" s="395"/>
      <c r="G142" s="80">
        <f>'Fiche de synthèse'!F12</f>
        <v>130900</v>
      </c>
      <c r="H142" s="81">
        <f>IF('VEV asynchrone'!C12="","",'VEV asynchrone'!C12*'Etat des lieux'!$E$10)</f>
        <v>418.88</v>
      </c>
      <c r="R142" s="67"/>
      <c r="S142" s="67"/>
      <c r="T142" s="67"/>
      <c r="U142" s="67"/>
      <c r="V142" s="67"/>
      <c r="W142" s="67"/>
      <c r="X142" s="67"/>
      <c r="Y142" s="67"/>
      <c r="Z142" s="67"/>
    </row>
    <row r="143" spans="2:26" ht="27" customHeight="1">
      <c r="B143" s="398"/>
      <c r="C143" s="77" t="str">
        <f>'Fiche de synthèse'!B13</f>
        <v>Indiquez…</v>
      </c>
      <c r="D143" s="78">
        <f>'Fiche de synthèse'!C13</f>
        <v>0</v>
      </c>
      <c r="E143" s="79">
        <f>'Fiche de synthèse'!D13</f>
        <v>0</v>
      </c>
      <c r="F143" s="395"/>
      <c r="G143" s="80" t="str">
        <f>'Fiche de synthèse'!F13</f>
        <v/>
      </c>
      <c r="H143" s="81" t="str">
        <f>IF('VEV asynchrone'!D12="","",'VEV asynchrone'!D12*'Etat des lieux'!$E$10)</f>
        <v/>
      </c>
      <c r="Y143" s="67"/>
      <c r="Z143" s="67"/>
    </row>
    <row r="144" spans="2:26" ht="27" customHeight="1">
      <c r="B144" s="399"/>
      <c r="C144" s="77" t="str">
        <f>'Fiche de synthèse'!B14</f>
        <v>Indiquez…</v>
      </c>
      <c r="D144" s="78">
        <f>'Fiche de synthèse'!C14</f>
        <v>0</v>
      </c>
      <c r="E144" s="79">
        <f>'Fiche de synthèse'!D14</f>
        <v>0</v>
      </c>
      <c r="F144" s="396"/>
      <c r="G144" s="80" t="str">
        <f>'Fiche de synthèse'!F14</f>
        <v/>
      </c>
      <c r="H144" s="81" t="str">
        <f>IF('VEV asynchrone'!E12="","",'VEV asynchrone'!E12*'Etat des lieux'!$E$10)</f>
        <v/>
      </c>
    </row>
    <row r="145" spans="2:20" ht="21" customHeight="1">
      <c r="B145" s="82"/>
      <c r="C145" s="83"/>
      <c r="D145" s="420"/>
      <c r="E145" s="421"/>
      <c r="F145" s="181"/>
      <c r="G145" s="405"/>
      <c r="H145" s="406"/>
    </row>
    <row r="146" spans="2:20" ht="25.5" customHeight="1">
      <c r="B146" s="397" t="s">
        <v>245</v>
      </c>
      <c r="C146" s="417"/>
      <c r="D146" s="78">
        <f>'Fiche de synthèse'!C16</f>
        <v>0</v>
      </c>
      <c r="E146" s="79">
        <f>'Fiche de synthèse'!D16</f>
        <v>0</v>
      </c>
      <c r="F146" s="199"/>
      <c r="G146" s="80" t="str">
        <f>'Fiche de synthèse'!F16</f>
        <v/>
      </c>
      <c r="H146" s="81" t="str">
        <f>IF('Compresseur basse pression'!C11="","",'Compresseur basse pression'!C11*'Etat des lieux'!$E$10)</f>
        <v/>
      </c>
    </row>
    <row r="147" spans="2:20" ht="25.5" customHeight="1">
      <c r="B147" s="398"/>
      <c r="C147" s="418"/>
      <c r="D147" s="78">
        <f>'Fiche de synthèse'!C17</f>
        <v>0</v>
      </c>
      <c r="E147" s="79">
        <f>'Fiche de synthèse'!D17</f>
        <v>0</v>
      </c>
      <c r="F147" s="199"/>
      <c r="G147" s="80" t="str">
        <f>'Fiche de synthèse'!F17</f>
        <v/>
      </c>
      <c r="H147" s="81" t="str">
        <f>IF('Compresseur basse pression'!D11="","",'Compresseur basse pression'!D11*'Etat des lieux'!$E$10)</f>
        <v/>
      </c>
    </row>
    <row r="148" spans="2:20" ht="25.5" customHeight="1">
      <c r="B148" s="399"/>
      <c r="C148" s="419"/>
      <c r="D148" s="78">
        <f>'Fiche de synthèse'!C18</f>
        <v>0</v>
      </c>
      <c r="E148" s="79">
        <f>'Fiche de synthèse'!D18</f>
        <v>0</v>
      </c>
      <c r="F148" s="199"/>
      <c r="G148" s="80" t="str">
        <f>'Fiche de synthèse'!F18</f>
        <v/>
      </c>
      <c r="H148" s="81" t="str">
        <f>IF('Compresseur basse pression'!E11="","",'Compresseur basse pression'!E11*'Etat des lieux'!$E$10)</f>
        <v/>
      </c>
    </row>
    <row r="149" spans="2:20" ht="21" customHeight="1">
      <c r="B149" s="82"/>
      <c r="C149" s="83" t="s">
        <v>33</v>
      </c>
      <c r="D149" s="420"/>
      <c r="E149" s="421"/>
      <c r="F149" s="181" t="s">
        <v>36</v>
      </c>
      <c r="G149" s="405"/>
      <c r="H149" s="406"/>
    </row>
    <row r="150" spans="2:20" ht="58.5" customHeight="1">
      <c r="B150" s="397" t="s">
        <v>111</v>
      </c>
      <c r="C150" s="84" t="str">
        <f>'Fiche de synthèse'!B20</f>
        <v>Indiquez…</v>
      </c>
      <c r="D150" s="78">
        <f>'Fiche de synthèse'!C20</f>
        <v>0</v>
      </c>
      <c r="E150" s="79">
        <f>'Fiche de synthèse'!D20</f>
        <v>0</v>
      </c>
      <c r="F150" s="85" t="str">
        <f>'Fiche de synthèse'!E20</f>
        <v>Indiquez…</v>
      </c>
      <c r="G150" s="80" t="str">
        <f>'Fiche de synthèse'!F20</f>
        <v/>
      </c>
      <c r="H150" s="81" t="str">
        <f>IF(Récupérateur!D11="","",Récupérateur!D11*'Etat des lieux'!$E$10)</f>
        <v/>
      </c>
    </row>
    <row r="151" spans="2:20" ht="58.5" customHeight="1">
      <c r="B151" s="398"/>
      <c r="C151" s="84" t="str">
        <f>'Fiche de synthèse'!B21</f>
        <v>Indiquez…</v>
      </c>
      <c r="D151" s="78">
        <f>'Fiche de synthèse'!C21</f>
        <v>0</v>
      </c>
      <c r="E151" s="79">
        <f>'Fiche de synthèse'!D21</f>
        <v>0</v>
      </c>
      <c r="F151" s="85" t="str">
        <f>'Fiche de synthèse'!E21</f>
        <v>Indiquez…</v>
      </c>
      <c r="G151" s="80" t="str">
        <f>'Fiche de synthèse'!F21</f>
        <v/>
      </c>
      <c r="H151" s="81" t="str">
        <f>IF(Récupérateur!E11="","",Récupérateur!E11*'Etat des lieux'!$E$10)</f>
        <v/>
      </c>
    </row>
    <row r="152" spans="2:20" ht="58.5" customHeight="1">
      <c r="B152" s="399"/>
      <c r="C152" s="84" t="str">
        <f>'Fiche de synthèse'!B22</f>
        <v>Indiquez…</v>
      </c>
      <c r="D152" s="78">
        <f>'Fiche de synthèse'!C22</f>
        <v>0</v>
      </c>
      <c r="E152" s="79">
        <f>'Fiche de synthèse'!D22</f>
        <v>0</v>
      </c>
      <c r="F152" s="85" t="str">
        <f>'Fiche de synthèse'!E22</f>
        <v>Indiquez…</v>
      </c>
      <c r="G152" s="80" t="str">
        <f>'Fiche de synthèse'!F22</f>
        <v/>
      </c>
      <c r="H152" s="81" t="str">
        <f>IF(Récupérateur!F11="","",Récupérateur!F11*'Etat des lieux'!$E$10)</f>
        <v/>
      </c>
    </row>
    <row r="153" spans="2:20" ht="21" customHeight="1">
      <c r="B153" s="408"/>
      <c r="C153" s="409"/>
      <c r="D153" s="409"/>
      <c r="E153" s="410"/>
      <c r="F153" s="181" t="s">
        <v>36</v>
      </c>
      <c r="G153" s="405"/>
      <c r="H153" s="406"/>
    </row>
    <row r="154" spans="2:20" ht="58.5" customHeight="1">
      <c r="B154" s="397" t="s">
        <v>138</v>
      </c>
      <c r="C154" s="417"/>
      <c r="D154" s="86">
        <f>'Fiche de synthèse'!C24</f>
        <v>0</v>
      </c>
      <c r="E154" s="89"/>
      <c r="F154" s="86" t="str">
        <f>'Fiche de synthèse'!E24</f>
        <v>Indiquez…</v>
      </c>
      <c r="G154" s="87" t="str">
        <f>'Fiche de synthèse'!F24</f>
        <v/>
      </c>
      <c r="H154" s="88" t="str">
        <f>IF('Sécheur d''air'!C11="","",'Sécheur d''air'!C11*'Etat des lieux'!$E$10)</f>
        <v/>
      </c>
    </row>
    <row r="155" spans="2:20" ht="58.5" customHeight="1">
      <c r="B155" s="398"/>
      <c r="C155" s="418"/>
      <c r="D155" s="86">
        <f>'Fiche de synthèse'!C25</f>
        <v>0</v>
      </c>
      <c r="E155" s="89"/>
      <c r="F155" s="86" t="str">
        <f>'Fiche de synthèse'!E25</f>
        <v>Indiquez…</v>
      </c>
      <c r="G155" s="87" t="str">
        <f>'Fiche de synthèse'!F25</f>
        <v/>
      </c>
      <c r="H155" s="88" t="str">
        <f>IF('Sécheur d''air'!D11="","",'Sécheur d''air'!D11*'Etat des lieux'!$E$10)</f>
        <v/>
      </c>
    </row>
    <row r="156" spans="2:20" ht="58.5" customHeight="1">
      <c r="B156" s="399"/>
      <c r="C156" s="419"/>
      <c r="D156" s="86">
        <f>'Fiche de synthèse'!C26</f>
        <v>0</v>
      </c>
      <c r="E156" s="89"/>
      <c r="F156" s="86" t="str">
        <f>'Fiche de synthèse'!E26</f>
        <v>Indiquez…</v>
      </c>
      <c r="G156" s="87" t="str">
        <f>'Fiche de synthèse'!F26</f>
        <v/>
      </c>
      <c r="H156" s="88" t="str">
        <f>IF('Sécheur d''air'!E11="","",'Sécheur d''air'!E11*'Etat des lieux'!$E$10)</f>
        <v/>
      </c>
    </row>
    <row r="157" spans="2:20" ht="20.25">
      <c r="B157" s="411"/>
      <c r="C157" s="412"/>
      <c r="D157" s="412"/>
      <c r="E157" s="412"/>
      <c r="F157" s="412"/>
      <c r="G157" s="412"/>
      <c r="H157" s="413"/>
      <c r="Q157" s="422"/>
      <c r="R157" s="422"/>
      <c r="S157" s="422"/>
      <c r="T157" s="422"/>
    </row>
    <row r="158" spans="2:20" ht="22.5" customHeight="1">
      <c r="B158" s="397" t="s">
        <v>345</v>
      </c>
      <c r="C158" s="182"/>
      <c r="D158" s="90">
        <f>'Fiche de synthèse'!C28</f>
        <v>0</v>
      </c>
      <c r="E158" s="91">
        <f>'Fiche de synthèse'!D28</f>
        <v>0</v>
      </c>
      <c r="F158" s="407"/>
      <c r="G158" s="92" t="str">
        <f>'Fiche de synthèse'!F28</f>
        <v/>
      </c>
      <c r="H158" s="93" t="str">
        <f>IF('Moteur IE4'!C11="","",'Moteur IE4'!C11*'Etat des lieux'!$E$10)</f>
        <v/>
      </c>
      <c r="Q158" s="422"/>
      <c r="R158" s="422"/>
      <c r="S158" s="422"/>
      <c r="T158" s="422"/>
    </row>
    <row r="159" spans="2:20" ht="22.5" customHeight="1">
      <c r="B159" s="398"/>
      <c r="C159" s="183"/>
      <c r="D159" s="90">
        <f>'Fiche de synthèse'!C29</f>
        <v>0</v>
      </c>
      <c r="E159" s="91">
        <f>'Fiche de synthèse'!D29</f>
        <v>0</v>
      </c>
      <c r="F159" s="407"/>
      <c r="G159" s="92" t="str">
        <f>'Fiche de synthèse'!F29</f>
        <v/>
      </c>
      <c r="H159" s="93" t="str">
        <f>IF('Moteur IE4'!D11="","",'Moteur IE4'!D11*'Etat des lieux'!$E$10)</f>
        <v/>
      </c>
      <c r="Q159" s="422"/>
      <c r="R159" s="422"/>
      <c r="S159" s="422"/>
      <c r="T159" s="422"/>
    </row>
    <row r="160" spans="2:20" ht="22.5" customHeight="1">
      <c r="B160" s="399"/>
      <c r="C160" s="184"/>
      <c r="D160" s="90">
        <f>'Fiche de synthèse'!C30</f>
        <v>0</v>
      </c>
      <c r="E160" s="91">
        <f>'Fiche de synthèse'!D30</f>
        <v>0</v>
      </c>
      <c r="F160" s="407"/>
      <c r="G160" s="92" t="str">
        <f>'Fiche de synthèse'!F30</f>
        <v/>
      </c>
      <c r="H160" s="93" t="str">
        <f>IF('Moteur IE4'!E11="","",'Moteur IE4'!E11*'Etat des lieux'!$E$10)</f>
        <v/>
      </c>
      <c r="Q160" s="422"/>
      <c r="R160" s="422"/>
      <c r="S160" s="422"/>
      <c r="T160" s="422"/>
    </row>
    <row r="161" spans="2:20" ht="20.25">
      <c r="B161" s="82"/>
      <c r="C161" s="76" t="s">
        <v>74</v>
      </c>
      <c r="D161" s="420"/>
      <c r="E161" s="423"/>
      <c r="F161" s="423"/>
      <c r="G161" s="423"/>
      <c r="H161" s="421"/>
      <c r="Q161" s="422"/>
      <c r="R161" s="422"/>
      <c r="S161" s="422"/>
      <c r="T161" s="422"/>
    </row>
    <row r="162" spans="2:20" ht="27" customHeight="1">
      <c r="B162" s="397" t="s">
        <v>113</v>
      </c>
      <c r="C162" s="94" t="str">
        <f>'Fiche de synthèse'!B32</f>
        <v>Indiquez…</v>
      </c>
      <c r="D162" s="95">
        <f>'Fiche de synthèse'!C32</f>
        <v>0</v>
      </c>
      <c r="E162" s="94">
        <f>'Fiche de synthèse'!D32</f>
        <v>0</v>
      </c>
      <c r="F162" s="394"/>
      <c r="G162" s="92" t="str">
        <f>'Fiche de synthèse'!F32</f>
        <v/>
      </c>
      <c r="H162" s="93" t="str">
        <f>IF(Séquenceur!C12="","",Séquenceur!C12*'Etat des lieux'!$E$10)</f>
        <v/>
      </c>
      <c r="Q162" s="422"/>
      <c r="R162" s="422"/>
      <c r="S162" s="422"/>
      <c r="T162" s="422"/>
    </row>
    <row r="163" spans="2:20" ht="27" customHeight="1">
      <c r="B163" s="398"/>
      <c r="C163" s="94" t="str">
        <f>'Fiche de synthèse'!B33</f>
        <v>Indiquez…</v>
      </c>
      <c r="D163" s="95">
        <f>'Fiche de synthèse'!C33</f>
        <v>0</v>
      </c>
      <c r="E163" s="94">
        <f>'Fiche de synthèse'!D33</f>
        <v>0</v>
      </c>
      <c r="F163" s="395"/>
      <c r="G163" s="92" t="str">
        <f>'Fiche de synthèse'!F33</f>
        <v/>
      </c>
      <c r="H163" s="93" t="str">
        <f>IF(Séquenceur!D12="","",Séquenceur!D12*'Etat des lieux'!$E$10)</f>
        <v/>
      </c>
    </row>
    <row r="164" spans="2:20" ht="27" customHeight="1">
      <c r="B164" s="399"/>
      <c r="C164" s="94" t="str">
        <f>'Fiche de synthèse'!B34</f>
        <v>Indiquez…</v>
      </c>
      <c r="D164" s="95">
        <f>'Fiche de synthèse'!C34</f>
        <v>0</v>
      </c>
      <c r="E164" s="94">
        <f>'Fiche de synthèse'!D34</f>
        <v>0</v>
      </c>
      <c r="F164" s="396"/>
      <c r="G164" s="92" t="str">
        <f>'Fiche de synthèse'!F34</f>
        <v/>
      </c>
      <c r="H164" s="93" t="str">
        <f>IF(Séquenceur!E12="","",Séquenceur!E12*'Etat des lieux'!$E$10)</f>
        <v/>
      </c>
    </row>
    <row r="165" spans="2:20" ht="27" customHeight="1">
      <c r="B165" s="96"/>
      <c r="C165" s="76" t="s">
        <v>76</v>
      </c>
      <c r="D165" s="420"/>
      <c r="E165" s="423"/>
      <c r="F165" s="423"/>
      <c r="G165" s="423"/>
      <c r="H165" s="421"/>
    </row>
    <row r="166" spans="2:20" ht="27.75" customHeight="1">
      <c r="B166" s="397" t="s">
        <v>114</v>
      </c>
      <c r="C166" s="97" t="str">
        <f>'Fiche de synthèse'!B36</f>
        <v>Indiquez …</v>
      </c>
      <c r="D166" s="95">
        <f>'Fiche de synthèse'!C36</f>
        <v>0</v>
      </c>
      <c r="E166" s="94">
        <f>'Fiche de synthèse'!D36</f>
        <v>0</v>
      </c>
      <c r="F166" s="394"/>
      <c r="G166" s="92" t="str">
        <f>'Fiche de synthèse'!F36</f>
        <v/>
      </c>
      <c r="H166" s="93" t="str">
        <f>IF('VEV synchrone'!C12="","",'VEV synchrone'!C12*'Etat des lieux'!$E$10)</f>
        <v/>
      </c>
    </row>
    <row r="167" spans="2:20" ht="27.75" customHeight="1">
      <c r="B167" s="398"/>
      <c r="C167" s="97" t="str">
        <f>'Fiche de synthèse'!B37</f>
        <v>Indiquez …</v>
      </c>
      <c r="D167" s="95">
        <f>'Fiche de synthèse'!C37</f>
        <v>0</v>
      </c>
      <c r="E167" s="94">
        <f>'Fiche de synthèse'!D37</f>
        <v>0</v>
      </c>
      <c r="F167" s="395"/>
      <c r="G167" s="92" t="str">
        <f>'Fiche de synthèse'!F37</f>
        <v/>
      </c>
      <c r="H167" s="93" t="str">
        <f>IF('VEV synchrone'!D12="","",'VEV synchrone'!D12*'Etat des lieux'!$E$10)</f>
        <v/>
      </c>
    </row>
    <row r="168" spans="2:20" ht="27.75" customHeight="1">
      <c r="B168" s="399"/>
      <c r="C168" s="97" t="str">
        <f>'Fiche de synthèse'!B38</f>
        <v>Indiquez …</v>
      </c>
      <c r="D168" s="95">
        <f>'Fiche de synthèse'!C38</f>
        <v>0</v>
      </c>
      <c r="E168" s="94">
        <f>'Fiche de synthèse'!D38</f>
        <v>0</v>
      </c>
      <c r="F168" s="396"/>
      <c r="G168" s="92" t="str">
        <f>'Fiche de synthèse'!F38</f>
        <v/>
      </c>
      <c r="H168" s="93" t="str">
        <f>IF('VEV synchrone'!E12="","",'VEV synchrone'!E12*'Etat des lieux'!$E$10)</f>
        <v/>
      </c>
    </row>
    <row r="169" spans="2:20" ht="21.75" customHeight="1">
      <c r="B169" s="414" t="s">
        <v>207</v>
      </c>
      <c r="C169" s="415"/>
      <c r="D169" s="415"/>
      <c r="E169" s="415"/>
      <c r="F169" s="416"/>
      <c r="G169" s="72">
        <f>'Fiche de synthèse'!F39</f>
        <v>130900</v>
      </c>
      <c r="H169" s="73">
        <f>'Fiche de synthèse'!G40</f>
        <v>418.88</v>
      </c>
    </row>
    <row r="170" spans="2:20" ht="20.25">
      <c r="B170" s="98"/>
      <c r="C170" s="74"/>
      <c r="D170" s="74"/>
      <c r="E170" s="74"/>
      <c r="F170" s="74"/>
      <c r="G170" s="74"/>
      <c r="H170"/>
    </row>
    <row r="171" spans="2:20" ht="27.75" customHeight="1">
      <c r="B171" s="59"/>
    </row>
    <row r="172" spans="2:20" ht="27.75" customHeight="1">
      <c r="B172" s="59"/>
    </row>
    <row r="173" spans="2:20" ht="12.75" customHeight="1">
      <c r="B173" s="59"/>
    </row>
    <row r="174" spans="2:20" ht="19.5" customHeight="1">
      <c r="B174" s="404" t="str">
        <f>"Compte tenu du prix actuel de cession de Certificats d'Economies d'Energie sur le marché (appelé PC, prix de cession), Capital Energy propose une prime de " &amp; ROUND(H169,2)&amp; " € HT telle qu’elle a été calculée dans l’article 3, soit un prix de "&amp;ROUND('Etat des lieux'!H4*'Etat des lieux'!E10,2)&amp;" € HT/MWh cumac.
Ce prix est fixe et garanti dans la mesure où l'ensemble des éléments constitutifs du dossier (cf. article 6) sont transmis à Capital Energy avant le 31/10/2018."&amp;" Dans le cas contraire, Capital Energy ne pourra garantir les montants indiqués dans les articles 3 et 4."</f>
        <v>Compte tenu du prix actuel de cession de Certificats d'Economies d'Energie sur le marché (appelé PC, prix de cession), Capital Energy propose une prime de 418,88 € HT telle qu’elle a été calculée dans l’article 3, soit un prix de 3,2 € HT/MWh cumac.
Ce prix est fixe et garanti dans la mesure où l'ensemble des éléments constitutifs du dossier (cf. article 6) sont transmis à Capital Energy avant le 31/10/2018. Dans le cas contraire, Capital Energy ne pourra garantir les montants indiqués dans les articles 3 et 4.</v>
      </c>
      <c r="C174" s="404"/>
      <c r="D174" s="404"/>
      <c r="E174" s="404"/>
      <c r="F174" s="404"/>
      <c r="G174" s="404"/>
      <c r="H174" s="404"/>
    </row>
    <row r="175" spans="2:20" ht="123.6" customHeight="1">
      <c r="B175" s="404"/>
      <c r="C175" s="404"/>
      <c r="D175" s="404"/>
      <c r="E175" s="404"/>
      <c r="F175" s="404"/>
      <c r="G175" s="404"/>
      <c r="H175" s="404"/>
    </row>
    <row r="176" spans="2:20" ht="151.5" customHeight="1">
      <c r="B176" s="404" t="str">
        <f>"Le montant total de la valorisation dépendra des travaux effectivement réalisés et du volume de CEE finalement crédité par le Pôle National des CEE sur le compte de Capital Energy ouvert auprès du Registre EMMY."&amp;" Dans le cas où le volume de CEE délivrés au titre des travaux d’efficacité énergétique décrits dans la présente offre de valorisation ne correspondrait pas à l’estimation faite par Capital Energy"&amp;" à l’appui des informations transmises par le bénéficiaire et impacterait le prix d’achat des CEE proposée, ce prix d’achat pourra être recalculé en fonction des travaux effectivement réalisés et des évolutions réglementaires visant le dispositif des CEE."</f>
        <v>Le montant total de la valorisation dépendra des travaux effectivement réalisés et du volume de CEE finalement crédité par le Pôle National des CEE sur le compte de Capital Energy ouvert auprès du Registre EMMY. Dans le cas où le volume de CEE délivrés au titre des travaux d’efficacité énergétique décrits dans la présente offre de valorisation ne correspondrait pas à l’estimation faite par Capital Energy à l’appui des informations transmises par le bénéficiaire et impacterait le prix d’achat des CEE proposée, ce prix d’achat pourra être recalculé en fonction des travaux effectivement réalisés et des évolutions réglementaires visant le dispositif des CEE.</v>
      </c>
      <c r="C176" s="404"/>
      <c r="D176" s="404"/>
      <c r="E176" s="404"/>
      <c r="F176" s="404"/>
      <c r="G176" s="404"/>
      <c r="H176" s="404"/>
    </row>
    <row r="177" spans="2:8" ht="72.75" customHeight="1">
      <c r="B177" s="404" t="s">
        <v>229</v>
      </c>
      <c r="C177" s="404"/>
      <c r="D177" s="404"/>
      <c r="E177" s="404"/>
      <c r="F177" s="404"/>
      <c r="G177" s="404"/>
      <c r="H177" s="404"/>
    </row>
    <row r="178" spans="2:8" ht="15.75" customHeight="1">
      <c r="B178" s="205"/>
      <c r="C178" s="205"/>
      <c r="D178" s="205"/>
      <c r="E178" s="205"/>
      <c r="F178" s="205"/>
      <c r="G178" s="205"/>
      <c r="H178" s="205"/>
    </row>
    <row r="179" spans="2:8" ht="14.25" customHeight="1">
      <c r="B179" s="116"/>
      <c r="C179" s="116"/>
      <c r="D179" s="116"/>
      <c r="E179" s="116"/>
      <c r="F179" s="116"/>
      <c r="G179" s="116"/>
      <c r="H179" s="116"/>
    </row>
    <row r="180" spans="2:8" ht="55.5" customHeight="1">
      <c r="B180" s="59"/>
    </row>
    <row r="181" spans="2:8">
      <c r="B181" s="404" t="s">
        <v>230</v>
      </c>
      <c r="C181" s="404"/>
      <c r="D181" s="404"/>
      <c r="E181" s="404"/>
      <c r="F181" s="404"/>
      <c r="G181" s="404"/>
      <c r="H181" s="404"/>
    </row>
    <row r="182" spans="2:8" ht="15" customHeight="1">
      <c r="B182" s="404"/>
      <c r="C182" s="404"/>
      <c r="D182" s="404"/>
      <c r="E182" s="404"/>
      <c r="F182" s="404"/>
      <c r="G182" s="404"/>
      <c r="H182" s="404"/>
    </row>
    <row r="183" spans="2:8">
      <c r="B183" s="404"/>
      <c r="C183" s="404"/>
      <c r="D183" s="404"/>
      <c r="E183" s="404"/>
      <c r="F183" s="404"/>
      <c r="G183" s="404"/>
      <c r="H183" s="404"/>
    </row>
    <row r="184" spans="2:8" ht="76.5" customHeight="1">
      <c r="B184" s="404"/>
      <c r="C184" s="404"/>
      <c r="D184" s="404"/>
      <c r="E184" s="404"/>
      <c r="F184" s="404"/>
      <c r="G184" s="404"/>
      <c r="H184" s="404"/>
    </row>
    <row r="185" spans="2:8" ht="19.5">
      <c r="B185" s="180"/>
      <c r="C185" s="180"/>
      <c r="D185" s="180"/>
      <c r="E185" s="180"/>
      <c r="F185" s="180"/>
      <c r="G185" s="180"/>
      <c r="H185" s="180"/>
    </row>
    <row r="186" spans="2:8" ht="15" customHeight="1">
      <c r="B186" s="59"/>
      <c r="C186" s="59"/>
      <c r="D186" s="59"/>
      <c r="E186" s="59"/>
      <c r="F186" s="59"/>
    </row>
    <row r="187" spans="2:8">
      <c r="B187" s="59"/>
      <c r="C187" s="59"/>
      <c r="D187" s="59"/>
      <c r="E187" s="59"/>
      <c r="F187" s="59"/>
    </row>
    <row r="188" spans="2:8">
      <c r="B188" s="59"/>
      <c r="C188" s="59"/>
      <c r="D188" s="59"/>
      <c r="E188" s="59"/>
      <c r="F188" s="59"/>
    </row>
    <row r="189" spans="2:8">
      <c r="B189" s="59"/>
      <c r="C189" s="59"/>
      <c r="D189" s="59"/>
      <c r="E189" s="59"/>
      <c r="F189" s="59"/>
    </row>
    <row r="190" spans="2:8">
      <c r="B190" s="404" t="s">
        <v>231</v>
      </c>
      <c r="C190" s="404"/>
      <c r="D190" s="404"/>
      <c r="E190" s="404"/>
      <c r="F190" s="404"/>
      <c r="G190" s="404"/>
      <c r="H190" s="404"/>
    </row>
    <row r="191" spans="2:8">
      <c r="B191" s="404"/>
      <c r="C191" s="404"/>
      <c r="D191" s="404"/>
      <c r="E191" s="404"/>
      <c r="F191" s="404"/>
      <c r="G191" s="404"/>
      <c r="H191" s="404"/>
    </row>
    <row r="192" spans="2:8" ht="210.75" customHeight="1">
      <c r="B192" s="404"/>
      <c r="C192" s="404"/>
      <c r="D192" s="404"/>
      <c r="E192" s="404"/>
      <c r="F192" s="404"/>
      <c r="G192" s="404"/>
      <c r="H192" s="404"/>
    </row>
    <row r="193" spans="2:8">
      <c r="B193" s="404"/>
      <c r="C193" s="404"/>
      <c r="D193" s="404"/>
      <c r="E193" s="404"/>
      <c r="F193" s="404"/>
      <c r="G193" s="404"/>
      <c r="H193" s="404"/>
    </row>
    <row r="194" spans="2:8">
      <c r="B194" s="404"/>
      <c r="C194" s="404"/>
      <c r="D194" s="404"/>
      <c r="E194" s="404"/>
      <c r="F194" s="404"/>
      <c r="G194" s="404"/>
      <c r="H194" s="404"/>
    </row>
    <row r="195" spans="2:8">
      <c r="B195" s="404"/>
      <c r="C195" s="404"/>
      <c r="D195" s="404"/>
      <c r="E195" s="404"/>
      <c r="F195" s="404"/>
      <c r="G195" s="404"/>
      <c r="H195" s="404"/>
    </row>
    <row r="196" spans="2:8">
      <c r="B196" s="404"/>
      <c r="C196" s="404"/>
      <c r="D196" s="404"/>
      <c r="E196" s="404"/>
      <c r="F196" s="404"/>
      <c r="G196" s="404"/>
      <c r="H196" s="404"/>
    </row>
    <row r="197" spans="2:8" ht="23.25" customHeight="1">
      <c r="B197" s="404"/>
      <c r="C197" s="404"/>
      <c r="D197" s="404"/>
      <c r="E197" s="404"/>
      <c r="F197" s="404"/>
      <c r="G197" s="404"/>
      <c r="H197" s="404"/>
    </row>
    <row r="198" spans="2:8" ht="6" customHeight="1">
      <c r="B198" s="404"/>
      <c r="C198" s="404"/>
      <c r="D198" s="404"/>
      <c r="E198" s="404"/>
      <c r="F198" s="404"/>
      <c r="G198" s="404"/>
      <c r="H198" s="404"/>
    </row>
    <row r="199" spans="2:8" ht="18.75" customHeight="1">
      <c r="B199" s="217"/>
      <c r="C199" s="217"/>
      <c r="D199" s="217"/>
      <c r="E199" s="217"/>
      <c r="F199" s="217"/>
      <c r="G199" s="217"/>
      <c r="H199" s="217"/>
    </row>
    <row r="228" ht="22.5" customHeight="1"/>
    <row r="229" ht="20.25" customHeight="1"/>
    <row r="230" ht="15" customHeight="1"/>
    <row r="243" spans="2:8" ht="21" customHeight="1"/>
    <row r="244" spans="2:8" ht="39.75" customHeight="1"/>
    <row r="245" spans="2:8" ht="27" customHeight="1"/>
    <row r="248" spans="2:8">
      <c r="B248" s="404" t="s">
        <v>232</v>
      </c>
      <c r="C248" s="404"/>
      <c r="D248" s="404"/>
      <c r="E248" s="404"/>
      <c r="F248" s="404"/>
      <c r="G248" s="404"/>
      <c r="H248" s="404"/>
    </row>
    <row r="249" spans="2:8">
      <c r="B249" s="404"/>
      <c r="C249" s="404"/>
      <c r="D249" s="404"/>
      <c r="E249" s="404"/>
      <c r="F249" s="404"/>
      <c r="G249" s="404"/>
      <c r="H249" s="404"/>
    </row>
    <row r="250" spans="2:8">
      <c r="B250" s="404"/>
      <c r="C250" s="404"/>
      <c r="D250" s="404"/>
      <c r="E250" s="404"/>
      <c r="F250" s="404"/>
      <c r="G250" s="404"/>
      <c r="H250" s="404"/>
    </row>
    <row r="251" spans="2:8">
      <c r="B251" s="404"/>
      <c r="C251" s="404"/>
      <c r="D251" s="404"/>
      <c r="E251" s="404"/>
      <c r="F251" s="404"/>
      <c r="G251" s="404"/>
      <c r="H251" s="404"/>
    </row>
    <row r="252" spans="2:8">
      <c r="B252" s="404"/>
      <c r="C252" s="404"/>
      <c r="D252" s="404"/>
      <c r="E252" s="404"/>
      <c r="F252" s="404"/>
      <c r="G252" s="404"/>
      <c r="H252" s="404"/>
    </row>
    <row r="253" spans="2:8">
      <c r="B253" s="404"/>
      <c r="C253" s="404"/>
      <c r="D253" s="404"/>
      <c r="E253" s="404"/>
      <c r="F253" s="404"/>
      <c r="G253" s="404"/>
      <c r="H253" s="404"/>
    </row>
    <row r="254" spans="2:8">
      <c r="B254" s="404"/>
      <c r="C254" s="404"/>
      <c r="D254" s="404"/>
      <c r="E254" s="404"/>
      <c r="F254" s="404"/>
      <c r="G254" s="404"/>
      <c r="H254" s="404"/>
    </row>
    <row r="255" spans="2:8">
      <c r="B255" s="404"/>
      <c r="C255" s="404"/>
      <c r="D255" s="404"/>
      <c r="E255" s="404"/>
      <c r="F255" s="404"/>
      <c r="G255" s="404"/>
      <c r="H255" s="404"/>
    </row>
    <row r="256" spans="2:8">
      <c r="B256" s="404"/>
      <c r="C256" s="404"/>
      <c r="D256" s="404"/>
      <c r="E256" s="404"/>
      <c r="F256" s="404"/>
      <c r="G256" s="404"/>
      <c r="H256" s="404"/>
    </row>
    <row r="257" spans="2:8">
      <c r="B257" s="404"/>
      <c r="C257" s="404"/>
      <c r="D257" s="404"/>
      <c r="E257" s="404"/>
      <c r="F257" s="404"/>
      <c r="G257" s="404"/>
      <c r="H257" s="404"/>
    </row>
    <row r="258" spans="2:8">
      <c r="B258" s="404"/>
      <c r="C258" s="404"/>
      <c r="D258" s="404"/>
      <c r="E258" s="404"/>
      <c r="F258" s="404"/>
      <c r="G258" s="404"/>
      <c r="H258" s="404"/>
    </row>
    <row r="259" spans="2:8">
      <c r="B259" s="404"/>
      <c r="C259" s="404"/>
      <c r="D259" s="404"/>
      <c r="E259" s="404"/>
      <c r="F259" s="404"/>
      <c r="G259" s="404"/>
      <c r="H259" s="404"/>
    </row>
    <row r="260" spans="2:8">
      <c r="B260" s="404"/>
      <c r="C260" s="404"/>
      <c r="D260" s="404"/>
      <c r="E260" s="404"/>
      <c r="F260" s="404"/>
      <c r="G260" s="404"/>
      <c r="H260" s="404"/>
    </row>
    <row r="261" spans="2:8">
      <c r="B261" s="404"/>
      <c r="C261" s="404"/>
      <c r="D261" s="404"/>
      <c r="E261" s="404"/>
      <c r="F261" s="404"/>
      <c r="G261" s="404"/>
      <c r="H261" s="404"/>
    </row>
    <row r="262" spans="2:8">
      <c r="B262" s="404"/>
      <c r="C262" s="404"/>
      <c r="D262" s="404"/>
      <c r="E262" s="404"/>
      <c r="F262" s="404"/>
      <c r="G262" s="404"/>
      <c r="H262" s="404"/>
    </row>
    <row r="263" spans="2:8">
      <c r="B263" s="404"/>
      <c r="C263" s="404"/>
      <c r="D263" s="404"/>
      <c r="E263" s="404"/>
      <c r="F263" s="404"/>
      <c r="G263" s="404"/>
      <c r="H263" s="404"/>
    </row>
    <row r="264" spans="2:8">
      <c r="B264" s="404"/>
      <c r="C264" s="404"/>
      <c r="D264" s="404"/>
      <c r="E264" s="404"/>
      <c r="F264" s="404"/>
      <c r="G264" s="404"/>
      <c r="H264" s="404"/>
    </row>
    <row r="265" spans="2:8">
      <c r="B265" s="404"/>
      <c r="C265" s="404"/>
      <c r="D265" s="404"/>
      <c r="E265" s="404"/>
      <c r="F265" s="404"/>
      <c r="G265" s="404"/>
      <c r="H265" s="404"/>
    </row>
    <row r="266" spans="2:8">
      <c r="B266" s="404"/>
      <c r="C266" s="404"/>
      <c r="D266" s="404"/>
      <c r="E266" s="404"/>
      <c r="F266" s="404"/>
      <c r="G266" s="404"/>
      <c r="H266" s="404"/>
    </row>
    <row r="267" spans="2:8">
      <c r="B267" s="404"/>
      <c r="C267" s="404"/>
      <c r="D267" s="404"/>
      <c r="E267" s="404"/>
      <c r="F267" s="404"/>
      <c r="G267" s="404"/>
      <c r="H267" s="404"/>
    </row>
    <row r="268" spans="2:8">
      <c r="B268" s="404"/>
      <c r="C268" s="404"/>
      <c r="D268" s="404"/>
      <c r="E268" s="404"/>
      <c r="F268" s="404"/>
      <c r="G268" s="404"/>
      <c r="H268" s="404"/>
    </row>
    <row r="269" spans="2:8">
      <c r="B269" s="404"/>
      <c r="C269" s="404"/>
      <c r="D269" s="404"/>
      <c r="E269" s="404"/>
      <c r="F269" s="404"/>
      <c r="G269" s="404"/>
      <c r="H269" s="404"/>
    </row>
    <row r="270" spans="2:8" ht="171" customHeight="1">
      <c r="B270" s="404"/>
      <c r="C270" s="404"/>
      <c r="D270" s="404"/>
      <c r="E270" s="404"/>
      <c r="F270" s="404"/>
      <c r="G270" s="404"/>
      <c r="H270" s="404"/>
    </row>
    <row r="271" spans="2:8">
      <c r="B271" s="404"/>
      <c r="C271" s="404"/>
      <c r="D271" s="404"/>
      <c r="E271" s="404"/>
      <c r="F271" s="404"/>
      <c r="G271" s="404"/>
      <c r="H271" s="404"/>
    </row>
    <row r="272" spans="2:8">
      <c r="B272" s="404"/>
      <c r="C272" s="404"/>
      <c r="D272" s="404"/>
      <c r="E272" s="404"/>
      <c r="F272" s="404"/>
      <c r="G272" s="404"/>
      <c r="H272" s="404"/>
    </row>
    <row r="273" spans="2:9">
      <c r="B273" s="404"/>
      <c r="C273" s="404"/>
      <c r="D273" s="404"/>
      <c r="E273" s="404"/>
      <c r="F273" s="404"/>
      <c r="G273" s="404"/>
      <c r="H273" s="404"/>
    </row>
    <row r="274" spans="2:9" ht="72" customHeight="1">
      <c r="B274" s="404"/>
      <c r="C274" s="404"/>
      <c r="D274" s="404"/>
      <c r="E274" s="404"/>
      <c r="F274" s="404"/>
      <c r="G274" s="404"/>
      <c r="H274" s="404"/>
    </row>
    <row r="279" spans="2:9">
      <c r="B279" s="404" t="s">
        <v>337</v>
      </c>
      <c r="C279" s="404"/>
      <c r="D279" s="404"/>
      <c r="E279" s="404"/>
      <c r="F279" s="404"/>
      <c r="G279" s="404"/>
      <c r="H279" s="404"/>
    </row>
    <row r="280" spans="2:9">
      <c r="B280" s="404"/>
      <c r="C280" s="404"/>
      <c r="D280" s="404"/>
      <c r="E280" s="404"/>
      <c r="F280" s="404"/>
      <c r="G280" s="404"/>
      <c r="H280" s="404"/>
    </row>
    <row r="281" spans="2:9">
      <c r="B281" s="404"/>
      <c r="C281" s="404"/>
      <c r="D281" s="404"/>
      <c r="E281" s="404"/>
      <c r="F281" s="404"/>
      <c r="G281" s="404"/>
      <c r="H281" s="404"/>
    </row>
    <row r="282" spans="2:9" ht="15" customHeight="1">
      <c r="B282" s="404"/>
      <c r="C282" s="404"/>
      <c r="D282" s="404"/>
      <c r="E282" s="404"/>
      <c r="F282" s="404"/>
      <c r="G282" s="404"/>
      <c r="H282" s="404"/>
      <c r="I282" s="68"/>
    </row>
    <row r="283" spans="2:9" ht="15" customHeight="1">
      <c r="B283" s="404"/>
      <c r="C283" s="404"/>
      <c r="D283" s="404"/>
      <c r="E283" s="404"/>
      <c r="F283" s="404"/>
      <c r="G283" s="404"/>
      <c r="H283" s="404"/>
      <c r="I283" s="68"/>
    </row>
    <row r="284" spans="2:9" ht="19.5">
      <c r="B284" s="404"/>
      <c r="C284" s="404"/>
      <c r="D284" s="404"/>
      <c r="E284" s="404"/>
      <c r="F284" s="404"/>
      <c r="G284" s="404"/>
      <c r="H284" s="404"/>
      <c r="I284" s="68"/>
    </row>
    <row r="285" spans="2:9" ht="19.5">
      <c r="B285" s="404"/>
      <c r="C285" s="404"/>
      <c r="D285" s="404"/>
      <c r="E285" s="404"/>
      <c r="F285" s="404"/>
      <c r="G285" s="404"/>
      <c r="H285" s="404"/>
      <c r="I285" s="68"/>
    </row>
    <row r="286" spans="2:9">
      <c r="B286" s="404"/>
      <c r="C286" s="404"/>
      <c r="D286" s="404"/>
      <c r="E286" s="404"/>
      <c r="F286" s="404"/>
      <c r="G286" s="404"/>
      <c r="H286" s="404"/>
    </row>
    <row r="287" spans="2:9">
      <c r="B287" s="404"/>
      <c r="C287" s="404"/>
      <c r="D287" s="404"/>
      <c r="E287" s="404"/>
      <c r="F287" s="404"/>
      <c r="G287" s="404"/>
      <c r="H287" s="404"/>
    </row>
    <row r="288" spans="2:9">
      <c r="B288" s="404"/>
      <c r="C288" s="404"/>
      <c r="D288" s="404"/>
      <c r="E288" s="404"/>
      <c r="F288" s="404"/>
      <c r="G288" s="404"/>
      <c r="H288" s="404"/>
    </row>
    <row r="289" spans="2:8">
      <c r="B289" s="404"/>
      <c r="C289" s="404"/>
      <c r="D289" s="404"/>
      <c r="E289" s="404"/>
      <c r="F289" s="404"/>
      <c r="G289" s="404"/>
      <c r="H289" s="404"/>
    </row>
    <row r="290" spans="2:8">
      <c r="B290" s="404"/>
      <c r="C290" s="404"/>
      <c r="D290" s="404"/>
      <c r="E290" s="404"/>
      <c r="F290" s="404"/>
      <c r="G290" s="404"/>
      <c r="H290" s="404"/>
    </row>
    <row r="291" spans="2:8">
      <c r="B291" s="404"/>
      <c r="C291" s="404"/>
      <c r="D291" s="404"/>
      <c r="E291" s="404"/>
      <c r="F291" s="404"/>
      <c r="G291" s="404"/>
      <c r="H291" s="404"/>
    </row>
    <row r="292" spans="2:8">
      <c r="B292" s="404"/>
      <c r="C292" s="404"/>
      <c r="D292" s="404"/>
      <c r="E292" s="404"/>
      <c r="F292" s="404"/>
      <c r="G292" s="404"/>
      <c r="H292" s="404"/>
    </row>
    <row r="293" spans="2:8">
      <c r="B293" s="404"/>
      <c r="C293" s="404"/>
      <c r="D293" s="404"/>
      <c r="E293" s="404"/>
      <c r="F293" s="404"/>
      <c r="G293" s="404"/>
      <c r="H293" s="404"/>
    </row>
    <row r="294" spans="2:8">
      <c r="B294" s="404"/>
      <c r="C294" s="404"/>
      <c r="D294" s="404"/>
      <c r="E294" s="404"/>
      <c r="F294" s="404"/>
      <c r="G294" s="404"/>
      <c r="H294" s="404"/>
    </row>
    <row r="295" spans="2:8">
      <c r="B295" s="404"/>
      <c r="C295" s="404"/>
      <c r="D295" s="404"/>
      <c r="E295" s="404"/>
      <c r="F295" s="404"/>
      <c r="G295" s="404"/>
      <c r="H295" s="404"/>
    </row>
    <row r="296" spans="2:8">
      <c r="B296" s="404"/>
      <c r="C296" s="404"/>
      <c r="D296" s="404"/>
      <c r="E296" s="404"/>
      <c r="F296" s="404"/>
      <c r="G296" s="404"/>
      <c r="H296" s="404"/>
    </row>
    <row r="297" spans="2:8">
      <c r="B297" s="404"/>
      <c r="C297" s="404"/>
      <c r="D297" s="404"/>
      <c r="E297" s="404"/>
      <c r="F297" s="404"/>
      <c r="G297" s="404"/>
      <c r="H297" s="404"/>
    </row>
    <row r="298" spans="2:8" ht="30" customHeight="1">
      <c r="B298" s="404"/>
      <c r="C298" s="404"/>
      <c r="D298" s="404"/>
      <c r="E298" s="404"/>
      <c r="F298" s="404"/>
      <c r="G298" s="404"/>
      <c r="H298" s="404"/>
    </row>
    <row r="300" spans="2:8" ht="22.5">
      <c r="B300" s="218" t="s">
        <v>247</v>
      </c>
      <c r="C300" s="69"/>
      <c r="F300" s="69"/>
      <c r="G300" s="69"/>
    </row>
    <row r="301" spans="2:8">
      <c r="C301" s="69"/>
      <c r="F301" s="69"/>
      <c r="G301" s="69"/>
    </row>
    <row r="302" spans="2:8" ht="22.5">
      <c r="C302" s="69"/>
      <c r="H302" s="70"/>
    </row>
    <row r="303" spans="2:8" ht="22.5">
      <c r="B303" s="71"/>
      <c r="C303" s="71"/>
      <c r="D303" s="71"/>
      <c r="F303" s="208" t="s">
        <v>99</v>
      </c>
      <c r="G303" s="215"/>
      <c r="H303" s="109"/>
    </row>
    <row r="304" spans="2:8" ht="22.5">
      <c r="C304" s="71"/>
      <c r="D304" s="71"/>
      <c r="F304" s="208" t="s">
        <v>100</v>
      </c>
      <c r="G304" s="215"/>
      <c r="H304" s="208"/>
    </row>
    <row r="305" spans="2:8" ht="22.5">
      <c r="B305" s="71"/>
      <c r="C305" s="71"/>
      <c r="D305" s="71"/>
      <c r="F305" s="211"/>
      <c r="G305" s="211"/>
      <c r="H305" s="216"/>
    </row>
    <row r="306" spans="2:8" ht="19.5">
      <c r="B306" s="71"/>
      <c r="C306" s="71"/>
      <c r="D306" s="71"/>
      <c r="F306" s="71"/>
      <c r="G306" s="71"/>
      <c r="H306" s="68"/>
    </row>
    <row r="307" spans="2:8" ht="19.5">
      <c r="B307" s="71"/>
      <c r="C307" s="71"/>
      <c r="D307" s="71"/>
      <c r="F307" s="71"/>
      <c r="G307" s="71"/>
    </row>
    <row r="308" spans="2:8" ht="19.5">
      <c r="B308" s="71"/>
      <c r="C308" s="71"/>
      <c r="D308" s="71"/>
      <c r="F308" s="71"/>
      <c r="G308" s="71"/>
    </row>
    <row r="309" spans="2:8" ht="19.5">
      <c r="B309" s="71"/>
      <c r="C309" s="71"/>
      <c r="D309" s="71"/>
      <c r="F309" s="71"/>
      <c r="G309" s="71"/>
    </row>
    <row r="310" spans="2:8" ht="19.5">
      <c r="B310" s="71"/>
      <c r="C310" s="71"/>
      <c r="D310" s="71"/>
      <c r="F310" s="71"/>
      <c r="G310" s="71"/>
    </row>
    <row r="311" spans="2:8" ht="19.5">
      <c r="B311" s="71"/>
      <c r="C311" s="71"/>
      <c r="D311" s="71"/>
      <c r="F311" s="71"/>
      <c r="G311" s="71"/>
    </row>
    <row r="312" spans="2:8" ht="19.5">
      <c r="B312" s="99"/>
      <c r="C312" s="99"/>
      <c r="D312" s="99"/>
      <c r="F312" s="99"/>
      <c r="G312" s="99"/>
    </row>
    <row r="313" spans="2:8" ht="19.5">
      <c r="B313" s="99"/>
      <c r="C313" s="99"/>
      <c r="D313" s="99"/>
      <c r="F313" s="99"/>
      <c r="G313" s="99"/>
    </row>
    <row r="314" spans="2:8" ht="22.5">
      <c r="B314" s="209" t="s">
        <v>87</v>
      </c>
      <c r="C314" s="210">
        <v>42736</v>
      </c>
      <c r="D314" s="208"/>
      <c r="E314" s="211"/>
      <c r="F314" s="208" t="s">
        <v>87</v>
      </c>
      <c r="G314" s="212"/>
      <c r="H314" s="211"/>
    </row>
    <row r="315" spans="2:8" ht="22.5">
      <c r="B315" s="209" t="s">
        <v>95</v>
      </c>
      <c r="C315" s="213" t="s">
        <v>92</v>
      </c>
      <c r="D315" s="208"/>
      <c r="E315" s="211"/>
      <c r="F315" s="208" t="s">
        <v>95</v>
      </c>
      <c r="G315" s="109"/>
      <c r="H315" s="211"/>
    </row>
    <row r="316" spans="2:8" ht="22.5" customHeight="1">
      <c r="B316" s="209" t="s">
        <v>94</v>
      </c>
      <c r="C316" s="214" t="s">
        <v>93</v>
      </c>
      <c r="D316" s="208"/>
      <c r="E316" s="211"/>
      <c r="F316" s="208" t="s">
        <v>94</v>
      </c>
      <c r="G316" s="109" t="str">
        <f>'Etat des lieux'!E4</f>
        <v>REY FRERES</v>
      </c>
      <c r="H316" s="211"/>
    </row>
    <row r="317" spans="2:8" ht="22.5">
      <c r="B317" s="208"/>
      <c r="C317" s="208"/>
      <c r="D317" s="208"/>
      <c r="E317" s="211"/>
      <c r="F317" s="208" t="s">
        <v>98</v>
      </c>
      <c r="G317" s="208"/>
      <c r="H317" s="211"/>
    </row>
    <row r="336" spans="2:3" ht="15">
      <c r="B336" s="100"/>
      <c r="C336"/>
    </row>
    <row r="337" spans="2:8" ht="15">
      <c r="B337" s="100"/>
      <c r="C337"/>
    </row>
    <row r="338" spans="2:8" ht="15">
      <c r="B338" s="100"/>
      <c r="C338"/>
    </row>
    <row r="339" spans="2:8" ht="15">
      <c r="B339" s="100"/>
      <c r="C339"/>
    </row>
    <row r="340" spans="2:8" ht="15">
      <c r="B340" s="101" t="s">
        <v>140</v>
      </c>
      <c r="C340"/>
    </row>
    <row r="341" spans="2:8" ht="20.25">
      <c r="B341" s="385" t="s">
        <v>146</v>
      </c>
      <c r="C341" s="386"/>
      <c r="D341" s="386"/>
      <c r="E341" s="386"/>
      <c r="F341" s="386"/>
      <c r="G341" s="386"/>
      <c r="H341" s="387"/>
    </row>
    <row r="342" spans="2:8" ht="20.25">
      <c r="B342" s="388" t="s">
        <v>147</v>
      </c>
      <c r="C342" s="389"/>
      <c r="D342" s="389"/>
      <c r="E342" s="389"/>
      <c r="F342" s="389"/>
      <c r="G342" s="389"/>
      <c r="H342" s="390"/>
    </row>
    <row r="343" spans="2:8" ht="20.25">
      <c r="B343" s="103" t="s">
        <v>148</v>
      </c>
      <c r="C343" s="382" t="s">
        <v>149</v>
      </c>
      <c r="D343" s="383"/>
      <c r="E343" s="383"/>
      <c r="F343" s="383"/>
      <c r="G343" s="383"/>
      <c r="H343" s="384"/>
    </row>
    <row r="344" spans="2:8" ht="20.25">
      <c r="B344" s="103" t="s">
        <v>150</v>
      </c>
      <c r="C344" s="382" t="s">
        <v>151</v>
      </c>
      <c r="D344" s="383"/>
      <c r="E344" s="383"/>
      <c r="F344" s="383"/>
      <c r="G344" s="383"/>
      <c r="H344" s="384"/>
    </row>
    <row r="345" spans="2:8" ht="20.25">
      <c r="B345" s="103" t="s">
        <v>152</v>
      </c>
      <c r="C345" s="382" t="s">
        <v>153</v>
      </c>
      <c r="D345" s="383"/>
      <c r="E345" s="383"/>
      <c r="F345" s="383"/>
      <c r="G345" s="383"/>
      <c r="H345" s="384"/>
    </row>
    <row r="346" spans="2:8" ht="20.25">
      <c r="B346" s="103" t="s">
        <v>208</v>
      </c>
      <c r="C346" s="382" t="s">
        <v>209</v>
      </c>
      <c r="D346" s="383"/>
      <c r="E346" s="383"/>
      <c r="F346" s="383"/>
      <c r="G346" s="383"/>
      <c r="H346" s="384"/>
    </row>
    <row r="347" spans="2:8" ht="20.25">
      <c r="B347" s="388" t="s">
        <v>154</v>
      </c>
      <c r="C347" s="389"/>
      <c r="D347" s="389"/>
      <c r="E347" s="389"/>
      <c r="F347" s="389"/>
      <c r="G347" s="389"/>
      <c r="H347" s="390"/>
    </row>
    <row r="348" spans="2:8" ht="20.25">
      <c r="B348" s="111" t="s">
        <v>155</v>
      </c>
      <c r="C348" s="382" t="s">
        <v>156</v>
      </c>
      <c r="D348" s="383"/>
      <c r="E348" s="383"/>
      <c r="F348" s="383"/>
      <c r="G348" s="383"/>
      <c r="H348" s="384"/>
    </row>
    <row r="349" spans="2:8" ht="20.25">
      <c r="B349" s="111" t="s">
        <v>157</v>
      </c>
      <c r="C349" s="382" t="s">
        <v>158</v>
      </c>
      <c r="D349" s="383"/>
      <c r="E349" s="383"/>
      <c r="F349" s="383"/>
      <c r="G349" s="383"/>
      <c r="H349" s="384"/>
    </row>
    <row r="350" spans="2:8" ht="20.25">
      <c r="B350" s="111" t="s">
        <v>159</v>
      </c>
      <c r="C350" s="382" t="s">
        <v>205</v>
      </c>
      <c r="D350" s="383"/>
      <c r="E350" s="383"/>
      <c r="F350" s="383"/>
      <c r="G350" s="383"/>
      <c r="H350" s="384"/>
    </row>
    <row r="351" spans="2:8" ht="20.25">
      <c r="B351" s="111" t="s">
        <v>160</v>
      </c>
      <c r="C351" s="382" t="s">
        <v>161</v>
      </c>
      <c r="D351" s="383"/>
      <c r="E351" s="383"/>
      <c r="F351" s="383"/>
      <c r="G351" s="383"/>
      <c r="H351" s="384"/>
    </row>
    <row r="352" spans="2:8" ht="20.25">
      <c r="B352" s="111" t="s">
        <v>162</v>
      </c>
      <c r="C352" s="382" t="s">
        <v>163</v>
      </c>
      <c r="D352" s="383"/>
      <c r="E352" s="383"/>
      <c r="F352" s="383"/>
      <c r="G352" s="383"/>
      <c r="H352" s="384"/>
    </row>
    <row r="353" spans="2:8" ht="20.25">
      <c r="B353" s="111" t="s">
        <v>164</v>
      </c>
      <c r="C353" s="382" t="s">
        <v>165</v>
      </c>
      <c r="D353" s="383"/>
      <c r="E353" s="383"/>
      <c r="F353" s="383"/>
      <c r="G353" s="383"/>
      <c r="H353" s="384"/>
    </row>
    <row r="354" spans="2:8" ht="20.25">
      <c r="B354" s="111" t="s">
        <v>166</v>
      </c>
      <c r="C354" s="382" t="s">
        <v>167</v>
      </c>
      <c r="D354" s="383"/>
      <c r="E354" s="383"/>
      <c r="F354" s="383"/>
      <c r="G354" s="383"/>
      <c r="H354" s="384"/>
    </row>
    <row r="355" spans="2:8" ht="20.25">
      <c r="B355" s="111" t="s">
        <v>168</v>
      </c>
      <c r="C355" s="382" t="s">
        <v>210</v>
      </c>
      <c r="D355" s="383"/>
      <c r="E355" s="383"/>
      <c r="F355" s="383"/>
      <c r="G355" s="383"/>
      <c r="H355" s="384"/>
    </row>
    <row r="356" spans="2:8" ht="20.25">
      <c r="B356" s="111" t="s">
        <v>169</v>
      </c>
      <c r="C356" s="382" t="s">
        <v>211</v>
      </c>
      <c r="D356" s="383"/>
      <c r="E356" s="383"/>
      <c r="F356" s="383"/>
      <c r="G356" s="383"/>
      <c r="H356" s="384"/>
    </row>
    <row r="357" spans="2:8" ht="20.25">
      <c r="B357" s="111" t="s">
        <v>170</v>
      </c>
      <c r="C357" s="382" t="s">
        <v>171</v>
      </c>
      <c r="D357" s="383"/>
      <c r="E357" s="383"/>
      <c r="F357" s="383"/>
      <c r="G357" s="383"/>
      <c r="H357" s="384"/>
    </row>
    <row r="358" spans="2:8" ht="20.25">
      <c r="B358" s="111" t="s">
        <v>172</v>
      </c>
      <c r="C358" s="382" t="s">
        <v>173</v>
      </c>
      <c r="D358" s="383"/>
      <c r="E358" s="383"/>
      <c r="F358" s="383"/>
      <c r="G358" s="383"/>
      <c r="H358" s="384"/>
    </row>
    <row r="359" spans="2:8" ht="20.25">
      <c r="B359" s="111" t="s">
        <v>174</v>
      </c>
      <c r="C359" s="382" t="s">
        <v>175</v>
      </c>
      <c r="D359" s="383"/>
      <c r="E359" s="383"/>
      <c r="F359" s="383"/>
      <c r="G359" s="383"/>
      <c r="H359" s="384"/>
    </row>
    <row r="360" spans="2:8" ht="20.25">
      <c r="B360" s="111" t="s">
        <v>176</v>
      </c>
      <c r="C360" s="382" t="s">
        <v>177</v>
      </c>
      <c r="D360" s="383"/>
      <c r="E360" s="383"/>
      <c r="F360" s="383"/>
      <c r="G360" s="383"/>
      <c r="H360" s="384"/>
    </row>
    <row r="361" spans="2:8" ht="20.25">
      <c r="B361" s="111" t="s">
        <v>178</v>
      </c>
      <c r="C361" s="382" t="s">
        <v>179</v>
      </c>
      <c r="D361" s="383"/>
      <c r="E361" s="383"/>
      <c r="F361" s="383"/>
      <c r="G361" s="383"/>
      <c r="H361" s="384"/>
    </row>
    <row r="362" spans="2:8" ht="20.25">
      <c r="B362" s="111" t="s">
        <v>180</v>
      </c>
      <c r="C362" s="382" t="s">
        <v>181</v>
      </c>
      <c r="D362" s="383"/>
      <c r="E362" s="383"/>
      <c r="F362" s="383"/>
      <c r="G362" s="383"/>
      <c r="H362" s="384"/>
    </row>
    <row r="363" spans="2:8" ht="20.25">
      <c r="B363" s="111" t="s">
        <v>182</v>
      </c>
      <c r="C363" s="382" t="s">
        <v>183</v>
      </c>
      <c r="D363" s="383"/>
      <c r="E363" s="383"/>
      <c r="F363" s="383"/>
      <c r="G363" s="383"/>
      <c r="H363" s="384"/>
    </row>
    <row r="364" spans="2:8" ht="20.25">
      <c r="B364" s="111" t="s">
        <v>184</v>
      </c>
      <c r="C364" s="382" t="s">
        <v>185</v>
      </c>
      <c r="D364" s="383"/>
      <c r="E364" s="383"/>
      <c r="F364" s="383"/>
      <c r="G364" s="383"/>
      <c r="H364" s="384"/>
    </row>
    <row r="365" spans="2:8" ht="20.25">
      <c r="B365" s="111" t="s">
        <v>186</v>
      </c>
      <c r="C365" s="382" t="s">
        <v>187</v>
      </c>
      <c r="D365" s="383"/>
      <c r="E365" s="383"/>
      <c r="F365" s="383"/>
      <c r="G365" s="383"/>
      <c r="H365" s="384"/>
    </row>
    <row r="366" spans="2:8" ht="20.25">
      <c r="B366" s="112" t="s">
        <v>188</v>
      </c>
      <c r="C366" s="382" t="s">
        <v>189</v>
      </c>
      <c r="D366" s="383"/>
      <c r="E366" s="383"/>
      <c r="F366" s="383"/>
      <c r="G366" s="383"/>
      <c r="H366" s="384"/>
    </row>
    <row r="367" spans="2:8" ht="20.25">
      <c r="B367" s="111" t="s">
        <v>308</v>
      </c>
      <c r="C367" s="382" t="s">
        <v>309</v>
      </c>
      <c r="D367" s="383"/>
      <c r="E367" s="383"/>
      <c r="F367" s="383"/>
      <c r="G367" s="383"/>
      <c r="H367" s="384"/>
    </row>
    <row r="368" spans="2:8" ht="20.25">
      <c r="B368" s="111" t="s">
        <v>310</v>
      </c>
      <c r="C368" s="382" t="s">
        <v>311</v>
      </c>
      <c r="D368" s="383"/>
      <c r="E368" s="383"/>
      <c r="F368" s="383"/>
      <c r="G368" s="383"/>
      <c r="H368" s="384"/>
    </row>
    <row r="369" spans="2:8" ht="15">
      <c r="B369" s="104"/>
      <c r="C369" s="104"/>
      <c r="D369" s="105"/>
      <c r="E369" s="105"/>
      <c r="F369" s="105"/>
      <c r="G369" s="105"/>
      <c r="H369" s="105"/>
    </row>
    <row r="370" spans="2:8" ht="15">
      <c r="B370" s="108"/>
      <c r="C370" s="106"/>
      <c r="D370" s="107"/>
      <c r="E370" s="107"/>
      <c r="F370" s="107"/>
      <c r="G370" s="107"/>
      <c r="H370" s="107"/>
    </row>
    <row r="371" spans="2:8" ht="20.25">
      <c r="B371" s="385" t="s">
        <v>190</v>
      </c>
      <c r="C371" s="386"/>
      <c r="D371" s="386"/>
      <c r="E371" s="386"/>
      <c r="F371" s="386"/>
      <c r="G371" s="386"/>
      <c r="H371" s="387"/>
    </row>
    <row r="372" spans="2:8" ht="20.25">
      <c r="B372" s="388" t="s">
        <v>191</v>
      </c>
      <c r="C372" s="389"/>
      <c r="D372" s="389"/>
      <c r="E372" s="389"/>
      <c r="F372" s="389"/>
      <c r="G372" s="389"/>
      <c r="H372" s="390"/>
    </row>
    <row r="373" spans="2:8" ht="20.25">
      <c r="B373" s="113" t="s">
        <v>262</v>
      </c>
      <c r="C373" s="382" t="s">
        <v>212</v>
      </c>
      <c r="D373" s="383"/>
      <c r="E373" s="383"/>
      <c r="F373" s="383"/>
      <c r="G373" s="383"/>
      <c r="H373" s="384"/>
    </row>
    <row r="374" spans="2:8" ht="20.25">
      <c r="B374" s="113" t="s">
        <v>252</v>
      </c>
      <c r="C374" s="382" t="s">
        <v>253</v>
      </c>
      <c r="D374" s="383"/>
      <c r="E374" s="383"/>
      <c r="F374" s="383"/>
      <c r="G374" s="383"/>
      <c r="H374" s="384"/>
    </row>
    <row r="375" spans="2:8" ht="20.25">
      <c r="B375" s="113" t="s">
        <v>260</v>
      </c>
      <c r="C375" s="382" t="s">
        <v>192</v>
      </c>
      <c r="D375" s="383"/>
      <c r="E375" s="383"/>
      <c r="F375" s="383"/>
      <c r="G375" s="383"/>
      <c r="H375" s="384"/>
    </row>
    <row r="376" spans="2:8" ht="20.25">
      <c r="B376" s="113" t="s">
        <v>254</v>
      </c>
      <c r="C376" s="382" t="s">
        <v>255</v>
      </c>
      <c r="D376" s="383"/>
      <c r="E376" s="383"/>
      <c r="F376" s="383"/>
      <c r="G376" s="383"/>
      <c r="H376" s="384"/>
    </row>
    <row r="377" spans="2:8" ht="20.25">
      <c r="B377" s="113" t="s">
        <v>256</v>
      </c>
      <c r="C377" s="382" t="s">
        <v>75</v>
      </c>
      <c r="D377" s="383"/>
      <c r="E377" s="383"/>
      <c r="F377" s="383"/>
      <c r="G377" s="383"/>
      <c r="H377" s="384"/>
    </row>
    <row r="378" spans="2:8" ht="20.25">
      <c r="B378" s="113" t="s">
        <v>263</v>
      </c>
      <c r="C378" s="382" t="s">
        <v>194</v>
      </c>
      <c r="D378" s="383"/>
      <c r="E378" s="383"/>
      <c r="F378" s="383"/>
      <c r="G378" s="383"/>
      <c r="H378" s="384"/>
    </row>
    <row r="379" spans="2:8" ht="20.25">
      <c r="B379" s="113" t="s">
        <v>257</v>
      </c>
      <c r="C379" s="382" t="s">
        <v>258</v>
      </c>
      <c r="D379" s="383"/>
      <c r="E379" s="383"/>
      <c r="F379" s="383"/>
      <c r="G379" s="383"/>
      <c r="H379" s="384"/>
    </row>
    <row r="380" spans="2:8" ht="20.25">
      <c r="B380" s="113" t="s">
        <v>264</v>
      </c>
      <c r="C380" s="382" t="s">
        <v>213</v>
      </c>
      <c r="D380" s="383"/>
      <c r="E380" s="383"/>
      <c r="F380" s="383"/>
      <c r="G380" s="383"/>
      <c r="H380" s="384"/>
    </row>
    <row r="381" spans="2:8" ht="20.25">
      <c r="B381" s="113" t="s">
        <v>265</v>
      </c>
      <c r="C381" s="382" t="s">
        <v>193</v>
      </c>
      <c r="D381" s="383"/>
      <c r="E381" s="383"/>
      <c r="F381" s="383"/>
      <c r="G381" s="383"/>
      <c r="H381" s="384"/>
    </row>
    <row r="382" spans="2:8" ht="20.25">
      <c r="B382" s="113" t="s">
        <v>259</v>
      </c>
      <c r="C382" s="382" t="s">
        <v>165</v>
      </c>
      <c r="D382" s="383"/>
      <c r="E382" s="383"/>
      <c r="F382" s="383"/>
      <c r="G382" s="383"/>
      <c r="H382" s="384"/>
    </row>
    <row r="383" spans="2:8" ht="20.25">
      <c r="B383" s="113" t="s">
        <v>266</v>
      </c>
      <c r="C383" s="382" t="s">
        <v>153</v>
      </c>
      <c r="D383" s="383"/>
      <c r="E383" s="383"/>
      <c r="F383" s="383"/>
      <c r="G383" s="383"/>
      <c r="H383" s="384"/>
    </row>
    <row r="384" spans="2:8" ht="20.25">
      <c r="B384" s="113" t="s">
        <v>267</v>
      </c>
      <c r="C384" s="382" t="s">
        <v>209</v>
      </c>
      <c r="D384" s="383"/>
      <c r="E384" s="383"/>
      <c r="F384" s="383"/>
      <c r="G384" s="383"/>
      <c r="H384" s="384"/>
    </row>
    <row r="385" spans="2:8" ht="20.25">
      <c r="B385" s="113" t="s">
        <v>268</v>
      </c>
      <c r="C385" s="382" t="s">
        <v>214</v>
      </c>
      <c r="D385" s="383"/>
      <c r="E385" s="383"/>
      <c r="F385" s="383"/>
      <c r="G385" s="383"/>
      <c r="H385" s="384"/>
    </row>
    <row r="386" spans="2:8" ht="20.25">
      <c r="B386" s="388" t="s">
        <v>195</v>
      </c>
      <c r="C386" s="389"/>
      <c r="D386" s="389"/>
      <c r="E386" s="389"/>
      <c r="F386" s="389"/>
      <c r="G386" s="389"/>
      <c r="H386" s="390"/>
    </row>
    <row r="387" spans="2:8" ht="20.25">
      <c r="B387" s="113" t="s">
        <v>261</v>
      </c>
      <c r="C387" s="382" t="s">
        <v>141</v>
      </c>
      <c r="D387" s="383"/>
      <c r="E387" s="383"/>
      <c r="F387" s="383"/>
      <c r="G387" s="383"/>
      <c r="H387" s="384"/>
    </row>
    <row r="388" spans="2:8" ht="20.25">
      <c r="B388" s="113" t="s">
        <v>269</v>
      </c>
      <c r="C388" s="382" t="s">
        <v>142</v>
      </c>
      <c r="D388" s="383"/>
      <c r="E388" s="383"/>
      <c r="F388" s="383"/>
      <c r="G388" s="383"/>
      <c r="H388" s="384"/>
    </row>
    <row r="389" spans="2:8" ht="20.25">
      <c r="B389" s="113" t="s">
        <v>270</v>
      </c>
      <c r="C389" s="382" t="s">
        <v>196</v>
      </c>
      <c r="D389" s="383"/>
      <c r="E389" s="383"/>
      <c r="F389" s="383"/>
      <c r="G389" s="383"/>
      <c r="H389" s="384"/>
    </row>
    <row r="390" spans="2:8" ht="20.25">
      <c r="B390" s="113" t="s">
        <v>271</v>
      </c>
      <c r="C390" s="382" t="s">
        <v>197</v>
      </c>
      <c r="D390" s="383"/>
      <c r="E390" s="383"/>
      <c r="F390" s="383"/>
      <c r="G390" s="383"/>
      <c r="H390" s="384"/>
    </row>
    <row r="391" spans="2:8" ht="20.25">
      <c r="B391" s="113" t="s">
        <v>272</v>
      </c>
      <c r="C391" s="382" t="s">
        <v>273</v>
      </c>
      <c r="D391" s="383"/>
      <c r="E391" s="383"/>
      <c r="F391" s="383"/>
      <c r="G391" s="383"/>
      <c r="H391" s="384"/>
    </row>
    <row r="392" spans="2:8" ht="20.25">
      <c r="B392" s="113" t="s">
        <v>274</v>
      </c>
      <c r="C392" s="382" t="s">
        <v>275</v>
      </c>
      <c r="D392" s="383"/>
      <c r="E392" s="383"/>
      <c r="F392" s="383"/>
      <c r="G392" s="383"/>
      <c r="H392" s="384"/>
    </row>
    <row r="393" spans="2:8" ht="20.25">
      <c r="B393" s="113" t="s">
        <v>248</v>
      </c>
      <c r="C393" s="382" t="s">
        <v>249</v>
      </c>
      <c r="D393" s="383"/>
      <c r="E393" s="383"/>
      <c r="F393" s="383"/>
      <c r="G393" s="383"/>
      <c r="H393" s="384"/>
    </row>
    <row r="394" spans="2:8" ht="20.25">
      <c r="B394" s="113" t="s">
        <v>250</v>
      </c>
      <c r="C394" s="382" t="s">
        <v>251</v>
      </c>
      <c r="D394" s="383"/>
      <c r="E394" s="383"/>
      <c r="F394" s="383"/>
      <c r="G394" s="383"/>
      <c r="H394" s="384"/>
    </row>
    <row r="395" spans="2:8" ht="20.25">
      <c r="B395" s="388" t="s">
        <v>198</v>
      </c>
      <c r="C395" s="389"/>
      <c r="D395" s="389"/>
      <c r="E395" s="389"/>
      <c r="F395" s="389"/>
      <c r="G395" s="389"/>
      <c r="H395" s="390"/>
    </row>
    <row r="396" spans="2:8" ht="20.25">
      <c r="B396" s="113" t="s">
        <v>276</v>
      </c>
      <c r="C396" s="382" t="s">
        <v>143</v>
      </c>
      <c r="D396" s="383"/>
      <c r="E396" s="383"/>
      <c r="F396" s="383"/>
      <c r="G396" s="383"/>
      <c r="H396" s="384"/>
    </row>
    <row r="397" spans="2:8" ht="20.25">
      <c r="B397" s="113" t="s">
        <v>277</v>
      </c>
      <c r="C397" s="382" t="s">
        <v>215</v>
      </c>
      <c r="D397" s="383"/>
      <c r="E397" s="383"/>
      <c r="F397" s="383"/>
      <c r="G397" s="383"/>
      <c r="H397" s="384"/>
    </row>
    <row r="398" spans="2:8" ht="20.25">
      <c r="B398" s="113" t="s">
        <v>278</v>
      </c>
      <c r="C398" s="382" t="s">
        <v>144</v>
      </c>
      <c r="D398" s="383"/>
      <c r="E398" s="383"/>
      <c r="F398" s="383"/>
      <c r="G398" s="383"/>
      <c r="H398" s="384"/>
    </row>
    <row r="399" spans="2:8" ht="20.25">
      <c r="B399" s="113" t="s">
        <v>279</v>
      </c>
      <c r="C399" s="382" t="s">
        <v>216</v>
      </c>
      <c r="D399" s="383"/>
      <c r="E399" s="383"/>
      <c r="F399" s="383"/>
      <c r="G399" s="383"/>
      <c r="H399" s="384"/>
    </row>
    <row r="400" spans="2:8" ht="20.25">
      <c r="B400" s="113" t="s">
        <v>280</v>
      </c>
      <c r="C400" s="382" t="s">
        <v>217</v>
      </c>
      <c r="D400" s="383"/>
      <c r="E400" s="383"/>
      <c r="F400" s="383"/>
      <c r="G400" s="383"/>
      <c r="H400" s="384"/>
    </row>
    <row r="401" spans="2:8" ht="20.25">
      <c r="B401" s="113" t="s">
        <v>281</v>
      </c>
      <c r="C401" s="382" t="s">
        <v>282</v>
      </c>
      <c r="D401" s="383"/>
      <c r="E401" s="383"/>
      <c r="F401" s="383"/>
      <c r="G401" s="383"/>
      <c r="H401" s="384"/>
    </row>
    <row r="402" spans="2:8" ht="20.25">
      <c r="B402" s="113" t="s">
        <v>283</v>
      </c>
      <c r="C402" s="382" t="s">
        <v>284</v>
      </c>
      <c r="D402" s="383"/>
      <c r="E402" s="383"/>
      <c r="F402" s="383"/>
      <c r="G402" s="383"/>
      <c r="H402" s="384"/>
    </row>
    <row r="403" spans="2:8" ht="20.25">
      <c r="B403" s="113" t="s">
        <v>285</v>
      </c>
      <c r="C403" s="382" t="s">
        <v>145</v>
      </c>
      <c r="D403" s="383"/>
      <c r="E403" s="383"/>
      <c r="F403" s="383"/>
      <c r="G403" s="383"/>
      <c r="H403" s="384"/>
    </row>
    <row r="404" spans="2:8" ht="20.25">
      <c r="B404" s="113" t="s">
        <v>286</v>
      </c>
      <c r="C404" s="382" t="s">
        <v>218</v>
      </c>
      <c r="D404" s="383"/>
      <c r="E404" s="383"/>
      <c r="F404" s="383"/>
      <c r="G404" s="383"/>
      <c r="H404" s="384"/>
    </row>
    <row r="405" spans="2:8" ht="20.25">
      <c r="B405" s="113" t="s">
        <v>287</v>
      </c>
      <c r="C405" s="382" t="s">
        <v>156</v>
      </c>
      <c r="D405" s="383"/>
      <c r="E405" s="383"/>
      <c r="F405" s="383"/>
      <c r="G405" s="383"/>
      <c r="H405" s="384"/>
    </row>
    <row r="406" spans="2:8" ht="20.25">
      <c r="B406" s="113" t="s">
        <v>288</v>
      </c>
      <c r="C406" s="382" t="s">
        <v>199</v>
      </c>
      <c r="D406" s="383"/>
      <c r="E406" s="383"/>
      <c r="F406" s="383"/>
      <c r="G406" s="383"/>
      <c r="H406" s="384"/>
    </row>
    <row r="407" spans="2:8" ht="20.25">
      <c r="B407" s="113" t="s">
        <v>289</v>
      </c>
      <c r="C407" s="382" t="s">
        <v>200</v>
      </c>
      <c r="D407" s="383"/>
      <c r="E407" s="383"/>
      <c r="F407" s="383"/>
      <c r="G407" s="383"/>
      <c r="H407" s="384"/>
    </row>
    <row r="408" spans="2:8" ht="20.25">
      <c r="B408" s="113" t="s">
        <v>290</v>
      </c>
      <c r="C408" s="382" t="s">
        <v>201</v>
      </c>
      <c r="D408" s="383"/>
      <c r="E408" s="383"/>
      <c r="F408" s="383"/>
      <c r="G408" s="383"/>
      <c r="H408" s="384"/>
    </row>
    <row r="409" spans="2:8" ht="20.25">
      <c r="B409" s="113" t="s">
        <v>291</v>
      </c>
      <c r="C409" s="382" t="s">
        <v>219</v>
      </c>
      <c r="D409" s="383"/>
      <c r="E409" s="383"/>
      <c r="F409" s="383"/>
      <c r="G409" s="383"/>
      <c r="H409" s="384"/>
    </row>
    <row r="410" spans="2:8" ht="20.25">
      <c r="B410" s="113" t="s">
        <v>292</v>
      </c>
      <c r="C410" s="382" t="s">
        <v>202</v>
      </c>
      <c r="D410" s="383"/>
      <c r="E410" s="383"/>
      <c r="F410" s="383"/>
      <c r="G410" s="383"/>
      <c r="H410" s="384"/>
    </row>
    <row r="411" spans="2:8" ht="20.25">
      <c r="B411" s="113" t="s">
        <v>293</v>
      </c>
      <c r="C411" s="382" t="s">
        <v>294</v>
      </c>
      <c r="D411" s="383"/>
      <c r="E411" s="383"/>
      <c r="F411" s="383"/>
      <c r="G411" s="383"/>
      <c r="H411" s="384"/>
    </row>
    <row r="412" spans="2:8" ht="20.25">
      <c r="B412" s="113" t="s">
        <v>295</v>
      </c>
      <c r="C412" s="382" t="s">
        <v>220</v>
      </c>
      <c r="D412" s="383"/>
      <c r="E412" s="383"/>
      <c r="F412" s="383"/>
      <c r="G412" s="383"/>
      <c r="H412" s="384"/>
    </row>
    <row r="413" spans="2:8" ht="20.25">
      <c r="B413" s="113" t="s">
        <v>296</v>
      </c>
      <c r="C413" s="382" t="s">
        <v>221</v>
      </c>
      <c r="D413" s="383"/>
      <c r="E413" s="383"/>
      <c r="F413" s="383"/>
      <c r="G413" s="383"/>
      <c r="H413" s="384"/>
    </row>
    <row r="414" spans="2:8" ht="20.25">
      <c r="B414" s="113" t="s">
        <v>297</v>
      </c>
      <c r="C414" s="382" t="s">
        <v>222</v>
      </c>
      <c r="D414" s="383"/>
      <c r="E414" s="383"/>
      <c r="F414" s="383"/>
      <c r="G414" s="383"/>
      <c r="H414" s="384"/>
    </row>
    <row r="415" spans="2:8" ht="20.25">
      <c r="B415" s="113" t="s">
        <v>298</v>
      </c>
      <c r="C415" s="382" t="s">
        <v>299</v>
      </c>
      <c r="D415" s="383"/>
      <c r="E415" s="383"/>
      <c r="F415" s="383"/>
      <c r="G415" s="383"/>
      <c r="H415" s="384"/>
    </row>
    <row r="416" spans="2:8" ht="20.25">
      <c r="B416" s="113" t="s">
        <v>300</v>
      </c>
      <c r="C416" s="382" t="s">
        <v>223</v>
      </c>
      <c r="D416" s="383"/>
      <c r="E416" s="383"/>
      <c r="F416" s="383"/>
      <c r="G416" s="383"/>
      <c r="H416" s="384"/>
    </row>
    <row r="417" spans="2:8" ht="20.25">
      <c r="B417" s="113" t="s">
        <v>301</v>
      </c>
      <c r="C417" s="382" t="s">
        <v>203</v>
      </c>
      <c r="D417" s="383"/>
      <c r="E417" s="383"/>
      <c r="F417" s="383"/>
      <c r="G417" s="383"/>
      <c r="H417" s="384"/>
    </row>
    <row r="418" spans="2:8" ht="20.25">
      <c r="B418" s="113" t="s">
        <v>302</v>
      </c>
      <c r="C418" s="382" t="s">
        <v>204</v>
      </c>
      <c r="D418" s="383"/>
      <c r="E418" s="383"/>
      <c r="F418" s="383"/>
      <c r="G418" s="383"/>
      <c r="H418" s="384"/>
    </row>
    <row r="419" spans="2:8" ht="20.25">
      <c r="B419" s="113" t="s">
        <v>303</v>
      </c>
      <c r="C419" s="382" t="s">
        <v>304</v>
      </c>
      <c r="D419" s="383"/>
      <c r="E419" s="383"/>
      <c r="F419" s="383"/>
      <c r="G419" s="383"/>
      <c r="H419" s="384"/>
    </row>
    <row r="420" spans="2:8" ht="20.25">
      <c r="B420" s="113" t="s">
        <v>305</v>
      </c>
      <c r="C420" s="382" t="s">
        <v>224</v>
      </c>
      <c r="D420" s="383"/>
      <c r="E420" s="383"/>
      <c r="F420" s="383"/>
      <c r="G420" s="383"/>
      <c r="H420" s="384"/>
    </row>
    <row r="421" spans="2:8" ht="20.25">
      <c r="B421" s="113" t="s">
        <v>306</v>
      </c>
      <c r="C421" s="382" t="s">
        <v>307</v>
      </c>
      <c r="D421" s="383"/>
      <c r="E421" s="383"/>
      <c r="F421" s="383"/>
      <c r="G421" s="383"/>
      <c r="H421" s="384"/>
    </row>
    <row r="422" spans="2:8" ht="15">
      <c r="B422" s="102"/>
      <c r="C422"/>
    </row>
  </sheetData>
  <sheetProtection algorithmName="SHA-512" hashValue="8UC1+PcVTOuiL9m37lX1aR9ZzOMZCzyGXt+b5pypV29uwYtQ5wCSLfqYUL0rFcUsOX+4EeKnWiJXepae8DBkUw==" saltValue="B+Utgy8PpqY1VbyHl4WEnA==" spinCount="100000" sheet="1" selectLockedCells="1" selectUnlockedCells="1"/>
  <mergeCells count="121">
    <mergeCell ref="C154:C156"/>
    <mergeCell ref="D145:E145"/>
    <mergeCell ref="G145:H145"/>
    <mergeCell ref="B146:B148"/>
    <mergeCell ref="C146:C148"/>
    <mergeCell ref="Q157:T162"/>
    <mergeCell ref="F162:F164"/>
    <mergeCell ref="B162:B164"/>
    <mergeCell ref="B181:H184"/>
    <mergeCell ref="G149:H149"/>
    <mergeCell ref="D149:E149"/>
    <mergeCell ref="D161:H161"/>
    <mergeCell ref="D165:H165"/>
    <mergeCell ref="B177:H177"/>
    <mergeCell ref="B342:H342"/>
    <mergeCell ref="C343:H343"/>
    <mergeCell ref="C344:H344"/>
    <mergeCell ref="C346:H346"/>
    <mergeCell ref="F166:F168"/>
    <mergeCell ref="B166:B168"/>
    <mergeCell ref="B169:F169"/>
    <mergeCell ref="B174:H175"/>
    <mergeCell ref="B248:H274"/>
    <mergeCell ref="B279:H298"/>
    <mergeCell ref="B341:H341"/>
    <mergeCell ref="B98:F101"/>
    <mergeCell ref="B1:B2"/>
    <mergeCell ref="C32:G33"/>
    <mergeCell ref="F141:F144"/>
    <mergeCell ref="B142:B144"/>
    <mergeCell ref="G105:H107"/>
    <mergeCell ref="B65:G88"/>
    <mergeCell ref="B347:H347"/>
    <mergeCell ref="C355:H355"/>
    <mergeCell ref="B138:H139"/>
    <mergeCell ref="C345:H345"/>
    <mergeCell ref="B114:H117"/>
    <mergeCell ref="B123:I128"/>
    <mergeCell ref="B129:I130"/>
    <mergeCell ref="B136:H137"/>
    <mergeCell ref="B150:B152"/>
    <mergeCell ref="G153:H153"/>
    <mergeCell ref="B154:B156"/>
    <mergeCell ref="B158:B160"/>
    <mergeCell ref="F158:F160"/>
    <mergeCell ref="B153:E153"/>
    <mergeCell ref="B157:H157"/>
    <mergeCell ref="B190:H198"/>
    <mergeCell ref="B176:H176"/>
    <mergeCell ref="C356:H356"/>
    <mergeCell ref="C357:H357"/>
    <mergeCell ref="C358:H358"/>
    <mergeCell ref="C349:H349"/>
    <mergeCell ref="C350:H350"/>
    <mergeCell ref="C351:H351"/>
    <mergeCell ref="C352:H352"/>
    <mergeCell ref="C348:H348"/>
    <mergeCell ref="C354:H354"/>
    <mergeCell ref="C353:H353"/>
    <mergeCell ref="C411:H411"/>
    <mergeCell ref="C412:H412"/>
    <mergeCell ref="C414:H414"/>
    <mergeCell ref="C401:H401"/>
    <mergeCell ref="C402:H402"/>
    <mergeCell ref="C403:H403"/>
    <mergeCell ref="C404:H404"/>
    <mergeCell ref="C397:H397"/>
    <mergeCell ref="C398:H398"/>
    <mergeCell ref="C399:H399"/>
    <mergeCell ref="C406:H406"/>
    <mergeCell ref="C413:H413"/>
    <mergeCell ref="C405:H405"/>
    <mergeCell ref="C410:H410"/>
    <mergeCell ref="C359:H359"/>
    <mergeCell ref="B371:H371"/>
    <mergeCell ref="C373:H373"/>
    <mergeCell ref="C377:H377"/>
    <mergeCell ref="C375:H375"/>
    <mergeCell ref="B372:H372"/>
    <mergeCell ref="C396:H396"/>
    <mergeCell ref="C385:H385"/>
    <mergeCell ref="B386:H386"/>
    <mergeCell ref="C360:H360"/>
    <mergeCell ref="C382:H382"/>
    <mergeCell ref="C383:H383"/>
    <mergeCell ref="C384:H384"/>
    <mergeCell ref="C361:H361"/>
    <mergeCell ref="C362:H362"/>
    <mergeCell ref="C363:H363"/>
    <mergeCell ref="C364:H364"/>
    <mergeCell ref="C365:H365"/>
    <mergeCell ref="C366:H366"/>
    <mergeCell ref="C376:H376"/>
    <mergeCell ref="C374:H374"/>
    <mergeCell ref="C378:H378"/>
    <mergeCell ref="B395:H395"/>
    <mergeCell ref="C393:H393"/>
    <mergeCell ref="Q57:AB82"/>
    <mergeCell ref="C394:H394"/>
    <mergeCell ref="C416:H416"/>
    <mergeCell ref="C417:H417"/>
    <mergeCell ref="C418:H418"/>
    <mergeCell ref="C419:H419"/>
    <mergeCell ref="C420:H420"/>
    <mergeCell ref="C421:H421"/>
    <mergeCell ref="C367:H367"/>
    <mergeCell ref="C368:H368"/>
    <mergeCell ref="C379:H379"/>
    <mergeCell ref="C380:H380"/>
    <mergeCell ref="C381:H381"/>
    <mergeCell ref="C387:H387"/>
    <mergeCell ref="C388:H388"/>
    <mergeCell ref="C389:H389"/>
    <mergeCell ref="C390:H390"/>
    <mergeCell ref="C391:H391"/>
    <mergeCell ref="C392:H392"/>
    <mergeCell ref="C400:H400"/>
    <mergeCell ref="C415:H415"/>
    <mergeCell ref="C407:H407"/>
    <mergeCell ref="C408:H408"/>
    <mergeCell ref="C409:H409"/>
  </mergeCells>
  <hyperlinks>
    <hyperlink ref="B374" r:id="rId1" tooltip="bat-eq-116-lampe_a_led_de_classe_a_outre_mer.pdf" display="http://atee.fr/sites/default/files/bat-eq-116-lampe_a_led_de_classe_a_outre_mer.pdf"/>
    <hyperlink ref="B375" r:id="rId2" tooltip="bat-eq-116-lampe_a_led_de_classe_a_outre_mer.pdf" display="http://atee.fr/sites/default/files/bat-eq-116-lampe_a_led_de_classe_a_outre_mer.pdf"/>
    <hyperlink ref="B378" r:id="rId3" tooltip="bat-eq-124-fermeture_meubles_frigorifiq_de_vente_a_temperature_positive.pdf" display="http://atee.fr/sites/default/files/bat-eq-124-fermeture_meubles_frigorifiq_de_vente_a_temperature_positive.pdf"/>
    <hyperlink ref="B381" r:id="rId4" tooltip="bat-eq-127-luminaire_d_eclairage_general_a_modules_led.pdf" display="http://atee.fr/sites/default/files/bat-eq-127-luminaire_d_eclairage_general_a_modules_led.pdf"/>
    <hyperlink ref="B383" r:id="rId5" tooltip="bat-eq-131-conduits_de_lumiere_naturelle.pdf" display="http://atee.fr/sites/default/files/bat-eq-131-conduits_de_lumiere_naturelle.pdf"/>
    <hyperlink ref="B387" r:id="rId6" tooltip="bat-en-101-isolation_de_combles_ou_de_toitures.pdf" display="http://atee.fr/sites/default/files/bat-en-101-isolation_de_combles_ou_de_toitures_0.pdf"/>
    <hyperlink ref="B388" r:id="rId7" tooltip="bat-en-102-isolation_des_murs.pdf" display="http://atee.fr/sites/default/files/bat-en-102-isolation_des_murs_0.pdf"/>
    <hyperlink ref="B389" r:id="rId8" tooltip="bat-en-103-isolation_d_un_plancher.pdf" display="http://atee.fr/sites/default/files/bat-en-103-isolation_d_un_plancher_1.pdf"/>
    <hyperlink ref="B390" r:id="rId9" tooltip="bat-en-104-fenetre_ou_porte_fenetre_complete_avec_vitrage_isolant.pdf" display="http://atee.fr/sites/default/files/bat-en-104-fenetre_ou_porte_fenetre_complete_avec_vitrage_isolant_0.pdf"/>
    <hyperlink ref="B392" r:id="rId10" tooltip="bat-en-107-isolation_des_toitures_terrasses.pdf" display="http://atee.fr/sites/default/files/bat-en-107-isolation_des_toitures_terrasses.pdf"/>
    <hyperlink ref="B396" r:id="rId11" tooltip="bat-th-102-chaudiere_collective_hte_performance_energetique.pdf" display="http://atee.fr/sites/default/files/bat-th-102-chaudiere_collective_hte_performance_energetique.pdf"/>
    <hyperlink ref="B398" r:id="rId12" tooltip="bat-th-104-robinet_thermostatique.pdf" display="http://atee.fr/sites/default/files/bat-th-104-robinet_thermostatique.pdf"/>
    <hyperlink ref="B403" r:id="rId13" tooltip="bat-th-110-recuperateur_de_chaleur_a_condensation.pdf" display="http://atee.fr/sites/default/files/bat-th-110-recuperateur_de_chaleur_a_condensation.pdf"/>
    <hyperlink ref="B405" r:id="rId14" tooltip="bat-th-112-systeme_variation_electronique_vitesse_moteur_asynchrone.pdf" display="http://atee.fr/sites/default/files/bat-th-112-systeme_variation_electronique_vitesse_moteur_asynchrone.pdf"/>
    <hyperlink ref="B406" r:id="rId15" tooltip="bat-th-113-pompe_a_chaleur_type_air_eau_ou_eau_eau.pdf" display="http://atee.fr/sites/default/files/bat-th-113-pompe_a_chaleur_type_air_eau_ou_eau_eau_0.pdf"/>
    <hyperlink ref="B407" r:id="rId16" tooltip="bat-th-115-climatiseur_performant_outre_mer.pdf" display="http://atee.fr/sites/default/files/bat-th-115-climatiseur_performant_outre_mer_0.pdf"/>
    <hyperlink ref="B408" r:id="rId17" tooltip="bat-th-116-system_gestion_techniq_du_batiment_pour_chauffag_et_ecs.pdf" display="http://atee.fr/sites/default/files/bat-th-116-system_gestion_techniq_du_batiment_pour_chauffag_et_ecs.pdf"/>
    <hyperlink ref="B410" r:id="rId18" tooltip="bat-th-121-chauffe_eau_solaire_outre_mer.pdf" display="http://atee.fr/sites/default/files/bat-th-121-chauffe_eau_solaire_outre_mer_0.pdf"/>
    <hyperlink ref="B417" r:id="rId19" tooltip="bat-th-140-pompe_chaleur_absorption_type_air_eau_ou_eau_eau.pdf" display="http://atee.fr/sites/default/files/bat-th-140-pompe_chaleur_absorption_type_air_eau_ou_eau_eau.pdf"/>
    <hyperlink ref="B418" r:id="rId20" tooltip="bat-th-141-pompe_a_chaleur_a_moteur_gaz_type_air-eau.pdf" display="http://atee.fr/sites/default/files/bat-th-141-pompe_a_chaleur_a_moteur_gaz_type_air-eau.pdf"/>
  </hyperlinks>
  <pageMargins left="0.43307086614173229" right="0.23622047244094491" top="0.74803149606299213" bottom="0.31496062992125984" header="0.31496062992125984" footer="0.31496062992125984"/>
  <pageSetup paperSize="9" scale="42" fitToHeight="5" orientation="portrait" r:id="rId21"/>
  <headerFooter differentFirst="1">
    <oddFooter xml:space="preserve">&amp;L&amp;18&amp;K92D050Capital Energy &amp;R    &amp;18&amp;K92D050www.capitalenergy.fr&amp;11      </oddFooter>
  </headerFooter>
  <rowBreaks count="4" manualBreakCount="4">
    <brk id="108" max="10" man="1"/>
    <brk id="170" max="10" man="1"/>
    <brk id="244" max="10" man="1"/>
    <brk id="331" max="10" man="1"/>
  </rowBreaks>
  <drawing r:id="rId22"/>
</worksheet>
</file>

<file path=xl/worksheets/sheet2.xml><?xml version="1.0" encoding="utf-8"?>
<worksheet xmlns="http://schemas.openxmlformats.org/spreadsheetml/2006/main" xmlns:r="http://schemas.openxmlformats.org/officeDocument/2006/relationships">
  <sheetPr codeName="Feuil1"/>
  <dimension ref="A1:L37"/>
  <sheetViews>
    <sheetView showGridLines="0" showRowColHeaders="0" showRuler="0" topLeftCell="A10" zoomScaleNormal="100" workbookViewId="0">
      <selection activeCell="E14" sqref="E14"/>
    </sheetView>
  </sheetViews>
  <sheetFormatPr baseColWidth="10" defaultColWidth="11.42578125" defaultRowHeight="15"/>
  <cols>
    <col min="1" max="1" width="6.7109375" style="230" customWidth="1"/>
    <col min="2" max="2" width="14.140625" style="230" customWidth="1"/>
    <col min="3" max="3" width="36.28515625" style="230" customWidth="1"/>
    <col min="4" max="4" width="33.5703125" style="230" customWidth="1"/>
    <col min="5" max="5" width="37.7109375" style="230" bestFit="1" customWidth="1"/>
    <col min="6" max="6" width="36.28515625" style="230" customWidth="1"/>
    <col min="7" max="7" width="15.28515625" style="230" customWidth="1"/>
    <col min="8" max="8" width="15" style="230" hidden="1" customWidth="1"/>
    <col min="9" max="9" width="14.140625" style="230" customWidth="1"/>
    <col min="10" max="10" width="9.140625" style="230" customWidth="1"/>
    <col min="11" max="11" width="41.28515625" style="230" customWidth="1"/>
    <col min="12" max="12" width="14.28515625" style="230" customWidth="1"/>
    <col min="13" max="13" width="14.140625" style="230" bestFit="1" customWidth="1"/>
    <col min="14" max="16384" width="11.42578125" style="230"/>
  </cols>
  <sheetData>
    <row r="1" spans="1:12" ht="72" customHeight="1">
      <c r="A1" s="229"/>
      <c r="C1" s="231"/>
      <c r="D1" s="269" t="s">
        <v>48</v>
      </c>
      <c r="E1" s="269"/>
      <c r="G1" s="232"/>
      <c r="H1" s="232"/>
      <c r="I1" s="232"/>
      <c r="J1" s="232"/>
      <c r="K1" s="232"/>
    </row>
    <row r="2" spans="1:12" ht="21" customHeight="1">
      <c r="A2" s="229"/>
      <c r="C2" s="231"/>
      <c r="D2" s="233"/>
      <c r="E2" s="233"/>
      <c r="G2" s="232"/>
      <c r="H2" s="232"/>
      <c r="I2" s="232"/>
      <c r="J2" s="232"/>
      <c r="K2" s="232"/>
    </row>
    <row r="3" spans="1:12" ht="18.75">
      <c r="D3" s="270" t="s">
        <v>41</v>
      </c>
      <c r="E3" s="270"/>
      <c r="G3" s="232"/>
      <c r="H3" s="234" t="s">
        <v>44</v>
      </c>
      <c r="I3" s="232"/>
      <c r="J3" s="232"/>
      <c r="K3" s="232"/>
    </row>
    <row r="4" spans="1:12" ht="15.75">
      <c r="D4" s="235" t="s">
        <v>15</v>
      </c>
      <c r="E4" s="424" t="s">
        <v>362</v>
      </c>
      <c r="F4" s="273" t="str">
        <f>IF(E9=H7,"",IF(E9=H8,"","/!\ INFORMATION /!\
La location d'équipements implique une procédure plus longue (6 mois) et une prime CEE réduite"))</f>
        <v/>
      </c>
      <c r="G4" s="232"/>
      <c r="H4" s="236">
        <v>3.2</v>
      </c>
      <c r="I4" s="237"/>
      <c r="J4" s="237"/>
      <c r="K4" s="237"/>
      <c r="L4" s="238"/>
    </row>
    <row r="5" spans="1:12" ht="15.75">
      <c r="D5" s="239" t="s">
        <v>89</v>
      </c>
      <c r="E5" s="425" t="s">
        <v>363</v>
      </c>
      <c r="F5" s="274"/>
      <c r="G5" s="232"/>
      <c r="H5" s="237"/>
      <c r="I5" s="237"/>
      <c r="J5" s="237"/>
      <c r="K5" s="237"/>
      <c r="L5" s="238"/>
    </row>
    <row r="6" spans="1:12" ht="15.75">
      <c r="D6" s="239" t="s">
        <v>90</v>
      </c>
      <c r="E6" s="426" t="s">
        <v>364</v>
      </c>
      <c r="F6" s="274"/>
      <c r="G6" s="232"/>
      <c r="H6" s="237" t="s">
        <v>315</v>
      </c>
      <c r="I6" s="237"/>
      <c r="J6" s="237"/>
      <c r="K6" s="237"/>
      <c r="L6" s="238"/>
    </row>
    <row r="7" spans="1:12" ht="15.75">
      <c r="D7" s="239" t="s">
        <v>91</v>
      </c>
      <c r="E7" s="427" t="s">
        <v>365</v>
      </c>
      <c r="F7" s="274"/>
      <c r="G7" s="232"/>
      <c r="H7" s="232" t="s">
        <v>22</v>
      </c>
      <c r="J7" s="237"/>
      <c r="K7" s="237"/>
      <c r="L7" s="238"/>
    </row>
    <row r="8" spans="1:12">
      <c r="D8" s="239" t="s">
        <v>42</v>
      </c>
      <c r="E8" s="255">
        <v>38</v>
      </c>
      <c r="F8" s="274"/>
      <c r="G8" s="232"/>
      <c r="H8" s="232" t="s">
        <v>316</v>
      </c>
      <c r="I8" s="232"/>
      <c r="J8" s="232"/>
      <c r="K8" s="232"/>
    </row>
    <row r="9" spans="1:12">
      <c r="D9" s="240" t="s">
        <v>321</v>
      </c>
      <c r="E9" s="241" t="s">
        <v>316</v>
      </c>
      <c r="F9" s="274"/>
      <c r="G9" s="232"/>
      <c r="H9" s="232" t="s">
        <v>317</v>
      </c>
      <c r="I9" s="232"/>
      <c r="J9" s="232"/>
      <c r="K9" s="232"/>
    </row>
    <row r="10" spans="1:12" ht="15" customHeight="1">
      <c r="D10" s="242" t="s">
        <v>240</v>
      </c>
      <c r="E10" s="256">
        <v>1</v>
      </c>
      <c r="F10" s="274"/>
      <c r="G10" s="232"/>
      <c r="H10" s="232" t="s">
        <v>318</v>
      </c>
      <c r="I10" s="232"/>
      <c r="J10" s="232"/>
      <c r="K10" s="232"/>
    </row>
    <row r="11" spans="1:12" ht="20.100000000000001" customHeight="1">
      <c r="D11" s="243"/>
      <c r="E11" s="243"/>
      <c r="G11" s="232"/>
      <c r="H11" s="232" t="s">
        <v>319</v>
      </c>
      <c r="I11" s="232"/>
      <c r="J11" s="232"/>
      <c r="K11" s="232"/>
    </row>
    <row r="12" spans="1:12" ht="18.75">
      <c r="D12" s="271" t="s">
        <v>359</v>
      </c>
      <c r="E12" s="270"/>
      <c r="G12" s="232"/>
      <c r="H12" s="232" t="s">
        <v>320</v>
      </c>
      <c r="I12" s="232"/>
      <c r="J12" s="232"/>
      <c r="K12" s="232"/>
    </row>
    <row r="13" spans="1:12">
      <c r="D13" s="244" t="s">
        <v>96</v>
      </c>
      <c r="E13" s="428" t="s">
        <v>366</v>
      </c>
      <c r="G13" s="232"/>
      <c r="H13" s="232"/>
      <c r="I13" s="232"/>
      <c r="J13" s="232"/>
      <c r="K13" s="232"/>
    </row>
    <row r="14" spans="1:12" ht="12.75" customHeight="1">
      <c r="D14" s="257" t="s">
        <v>360</v>
      </c>
      <c r="E14" s="429" t="s">
        <v>367</v>
      </c>
      <c r="G14" s="232"/>
      <c r="H14" s="232"/>
      <c r="I14" s="232"/>
      <c r="J14" s="232"/>
      <c r="K14" s="232"/>
    </row>
    <row r="15" spans="1:12">
      <c r="C15" s="245"/>
      <c r="D15" s="245"/>
      <c r="E15" s="245"/>
      <c r="F15" s="245"/>
      <c r="G15" s="246"/>
      <c r="H15" s="232"/>
      <c r="I15" s="232"/>
      <c r="J15" s="232"/>
      <c r="K15" s="232"/>
    </row>
    <row r="16" spans="1:12" s="247" customFormat="1" ht="21">
      <c r="B16" s="230"/>
      <c r="C16" s="272" t="s">
        <v>43</v>
      </c>
      <c r="D16" s="272"/>
      <c r="E16" s="272"/>
      <c r="F16" s="272"/>
      <c r="G16" s="248"/>
      <c r="H16" s="249"/>
      <c r="I16" s="249"/>
      <c r="J16" s="249"/>
      <c r="K16" s="249"/>
    </row>
    <row r="17" spans="3:11" s="251" customFormat="1" ht="21">
      <c r="C17" s="250"/>
      <c r="D17" s="250"/>
      <c r="E17" s="250"/>
      <c r="F17" s="250"/>
      <c r="K17" s="252"/>
    </row>
    <row r="18" spans="3:11" s="251" customFormat="1" ht="30.75" customHeight="1">
      <c r="C18" s="263" t="s">
        <v>104</v>
      </c>
      <c r="D18" s="262" t="s">
        <v>39</v>
      </c>
      <c r="E18" s="262"/>
      <c r="F18" s="262"/>
      <c r="K18" s="252"/>
    </row>
    <row r="19" spans="3:11" s="251" customFormat="1" ht="27.6" customHeight="1">
      <c r="C19" s="263"/>
      <c r="D19" s="258" t="s">
        <v>348</v>
      </c>
      <c r="E19" s="258"/>
      <c r="F19" s="258"/>
      <c r="K19" s="252"/>
    </row>
    <row r="20" spans="3:11" s="251" customFormat="1" ht="30.75" customHeight="1">
      <c r="C20" s="264" t="s">
        <v>243</v>
      </c>
      <c r="D20" s="262" t="s">
        <v>241</v>
      </c>
      <c r="E20" s="262"/>
      <c r="F20" s="262"/>
      <c r="K20" s="252"/>
    </row>
    <row r="21" spans="3:11" s="251" customFormat="1" ht="35.450000000000003" customHeight="1">
      <c r="C21" s="265"/>
      <c r="D21" s="266" t="s">
        <v>312</v>
      </c>
      <c r="E21" s="267"/>
      <c r="F21" s="268"/>
      <c r="K21" s="252"/>
    </row>
    <row r="22" spans="3:11" s="251" customFormat="1" ht="30.75" customHeight="1">
      <c r="C22" s="263" t="s">
        <v>103</v>
      </c>
      <c r="D22" s="259" t="s">
        <v>40</v>
      </c>
      <c r="E22" s="260"/>
      <c r="F22" s="261"/>
      <c r="G22" s="252"/>
      <c r="H22" s="252"/>
      <c r="I22" s="252"/>
      <c r="J22" s="252"/>
      <c r="K22" s="252"/>
    </row>
    <row r="23" spans="3:11" s="251" customFormat="1" ht="29.45" customHeight="1">
      <c r="C23" s="263"/>
      <c r="D23" s="258" t="s">
        <v>349</v>
      </c>
      <c r="E23" s="258"/>
      <c r="F23" s="258"/>
      <c r="G23" s="252"/>
      <c r="I23" s="252"/>
      <c r="J23" s="252"/>
      <c r="K23" s="252"/>
    </row>
    <row r="24" spans="3:11" s="251" customFormat="1" ht="30.75" customHeight="1">
      <c r="C24" s="263" t="s">
        <v>101</v>
      </c>
      <c r="D24" s="262" t="s">
        <v>56</v>
      </c>
      <c r="E24" s="262"/>
      <c r="F24" s="262"/>
      <c r="G24" s="252"/>
      <c r="I24" s="252"/>
      <c r="J24" s="252"/>
      <c r="K24" s="252"/>
    </row>
    <row r="25" spans="3:11" s="251" customFormat="1" ht="33.6" customHeight="1">
      <c r="C25" s="263"/>
      <c r="D25" s="258" t="s">
        <v>313</v>
      </c>
      <c r="E25" s="258"/>
      <c r="F25" s="258"/>
      <c r="G25" s="252"/>
      <c r="H25" s="252"/>
      <c r="I25" s="252"/>
      <c r="J25" s="252"/>
      <c r="K25" s="252"/>
    </row>
    <row r="26" spans="3:11" s="251" customFormat="1" ht="30.75" customHeight="1">
      <c r="C26" s="263" t="s">
        <v>126</v>
      </c>
      <c r="D26" s="262" t="s">
        <v>127</v>
      </c>
      <c r="E26" s="262"/>
      <c r="F26" s="262"/>
      <c r="G26" s="252"/>
      <c r="H26" s="252"/>
      <c r="I26" s="252"/>
      <c r="J26" s="252"/>
      <c r="K26" s="252"/>
    </row>
    <row r="27" spans="3:11" s="251" customFormat="1" ht="30.6" customHeight="1">
      <c r="C27" s="263"/>
      <c r="D27" s="258" t="s">
        <v>314</v>
      </c>
      <c r="E27" s="258"/>
      <c r="F27" s="258"/>
      <c r="G27" s="252"/>
      <c r="H27" s="252"/>
      <c r="I27" s="252"/>
      <c r="J27" s="252"/>
      <c r="K27" s="252"/>
    </row>
    <row r="28" spans="3:11" s="251" customFormat="1" ht="30.75" customHeight="1">
      <c r="C28" s="263" t="s">
        <v>346</v>
      </c>
      <c r="D28" s="262" t="s">
        <v>347</v>
      </c>
      <c r="E28" s="262"/>
      <c r="F28" s="262"/>
      <c r="G28" s="252"/>
      <c r="H28" s="252"/>
      <c r="I28" s="252"/>
      <c r="J28" s="252"/>
      <c r="K28" s="252"/>
    </row>
    <row r="29" spans="3:11" s="251" customFormat="1" ht="29.45" customHeight="1">
      <c r="C29" s="263"/>
      <c r="D29" s="258" t="s">
        <v>350</v>
      </c>
      <c r="E29" s="258"/>
      <c r="F29" s="258"/>
      <c r="G29" s="252"/>
      <c r="H29" s="252"/>
      <c r="I29" s="252"/>
      <c r="J29" s="252"/>
      <c r="K29" s="252"/>
    </row>
    <row r="30" spans="3:11" s="251" customFormat="1" ht="30.75" customHeight="1">
      <c r="C30" s="263" t="s">
        <v>102</v>
      </c>
      <c r="D30" s="262" t="s">
        <v>335</v>
      </c>
      <c r="E30" s="262"/>
      <c r="F30" s="262"/>
      <c r="G30" s="252"/>
      <c r="H30" s="252"/>
      <c r="I30" s="252"/>
      <c r="J30" s="252"/>
      <c r="K30" s="252"/>
    </row>
    <row r="31" spans="3:11" ht="29.45" customHeight="1">
      <c r="C31" s="263"/>
      <c r="D31" s="258" t="s">
        <v>351</v>
      </c>
      <c r="E31" s="258"/>
      <c r="F31" s="258"/>
      <c r="G31" s="232"/>
      <c r="H31" s="232"/>
      <c r="I31" s="232"/>
      <c r="J31" s="232"/>
      <c r="K31" s="232"/>
    </row>
    <row r="32" spans="3:11" ht="20.100000000000001" customHeight="1"/>
    <row r="33" spans="2:3" ht="23.25" customHeight="1"/>
    <row r="34" spans="2:3" ht="30.75" customHeight="1">
      <c r="C34" s="253"/>
    </row>
    <row r="37" spans="2:3">
      <c r="B37" s="254"/>
    </row>
  </sheetData>
  <sheetProtection algorithmName="SHA-512" hashValue="W65I5xSfbKm6qzPWwSu0G5EVdfH9e3iFyuGGYvb3oQWSHU8CYehKkHpByD/dEcbfqC3WjGwE2vfTZT4wFohtvw==" saltValue="qjDGKEhmDWTl7HQdf1COPg==" spinCount="100000" sheet="1" selectLockedCells="1"/>
  <mergeCells count="26">
    <mergeCell ref="C20:C21"/>
    <mergeCell ref="D20:F20"/>
    <mergeCell ref="D21:F21"/>
    <mergeCell ref="D1:E1"/>
    <mergeCell ref="D3:E3"/>
    <mergeCell ref="D12:E12"/>
    <mergeCell ref="C16:F16"/>
    <mergeCell ref="D18:F18"/>
    <mergeCell ref="C18:C19"/>
    <mergeCell ref="D19:F19"/>
    <mergeCell ref="F4:F10"/>
    <mergeCell ref="D31:F31"/>
    <mergeCell ref="D22:F22"/>
    <mergeCell ref="D30:F30"/>
    <mergeCell ref="C30:C31"/>
    <mergeCell ref="C24:C25"/>
    <mergeCell ref="D25:F25"/>
    <mergeCell ref="D24:F24"/>
    <mergeCell ref="C22:C23"/>
    <mergeCell ref="D23:F23"/>
    <mergeCell ref="D26:F26"/>
    <mergeCell ref="D27:F27"/>
    <mergeCell ref="C26:C27"/>
    <mergeCell ref="D28:F28"/>
    <mergeCell ref="D29:F29"/>
    <mergeCell ref="C28:C29"/>
  </mergeCells>
  <phoneticPr fontId="0" type="noConversion"/>
  <dataValidations count="1">
    <dataValidation type="list" allowBlank="1" showInputMessage="1" showErrorMessage="1" sqref="E9">
      <formula1>$H$7:$H$12</formula1>
    </dataValidation>
  </dataValidations>
  <hyperlinks>
    <hyperlink ref="E7" r:id="rId1" display="mailto:sarl.reyfreres@wanadoo.fr"/>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1" stopIfTrue="1" operator="containsText" id="{900C164C-9CB9-44B2-A3D5-DF9C44A02569}">
            <xm:f>NOT(ISERROR(SEARCH("Nom prénom",E13)))</xm:f>
            <xm:f>"Nom prénom"</xm:f>
            <x14:dxf>
              <font>
                <b val="0"/>
                <i/>
                <color theme="0" tint="-0.499984740745262"/>
              </font>
            </x14:dxf>
          </x14:cfRule>
          <xm:sqref>E13</xm:sqref>
        </x14:conditionalFormatting>
        <x14:conditionalFormatting xmlns:xm="http://schemas.microsoft.com/office/excel/2006/main">
          <x14:cfRule type="containsText" priority="10" stopIfTrue="1" operator="containsText" id="{840BB4A8-43BA-4135-8E3C-92D3D98F7854}">
            <xm:f>NOT(ISERROR(SEARCH("Raison sociale de l'entreprise prestataire",E14)))</xm:f>
            <xm:f>"Raison sociale de l'entreprise prestataire"</xm:f>
            <x14:dxf>
              <font>
                <b val="0"/>
                <i/>
                <color theme="0" tint="-0.499984740745262"/>
              </font>
            </x14:dxf>
          </x14:cfRule>
          <xm:sqref>E14</xm:sqref>
        </x14:conditionalFormatting>
        <x14:conditionalFormatting xmlns:xm="http://schemas.microsoft.com/office/excel/2006/main">
          <x14:cfRule type="containsText" priority="6" stopIfTrue="1" operator="containsText" id="{AF5C2E49-DCF3-4101-AE20-7A005F0C1F83}">
            <xm:f>NOT(ISERROR(SEARCH("XX",E9)))</xm:f>
            <xm:f>"XX"</xm:f>
            <x14:dxf>
              <font>
                <b val="0"/>
                <i/>
                <color theme="0" tint="-0.499984740745262"/>
              </font>
            </x14:dxf>
          </x14:cfRule>
          <xm:sqref>E9:E10</xm:sqref>
        </x14:conditionalFormatting>
        <x14:conditionalFormatting xmlns:xm="http://schemas.microsoft.com/office/excel/2006/main">
          <x14:cfRule type="containsText" priority="3" stopIfTrue="1" operator="containsText" id="{0FDF28F8-14F2-4E54-BC25-D3B0EAA52C2D}">
            <xm:f>NOT(ISERROR(SEARCH("XX",E8)))</xm:f>
            <xm:f>"XX"</xm:f>
            <x14:dxf>
              <font>
                <b val="0"/>
                <i/>
                <color theme="0" tint="-0.499984740745262"/>
              </font>
            </x14:dxf>
          </x14:cfRule>
          <xm:sqref>E8</xm:sqref>
        </x14:conditionalFormatting>
        <x14:conditionalFormatting xmlns:xm="http://schemas.microsoft.com/office/excel/2006/main">
          <x14:cfRule type="containsText" priority="2" stopIfTrue="1" operator="containsText" id="{19DB5FBA-33BC-4446-92A5-FFB0C5616C8E}">
            <xm:f>NOT(ISERROR(SEARCH("Raison sociale de l'entreprise client",E4)))</xm:f>
            <xm:f>"Raison sociale de l'entreprise client"</xm:f>
            <x14:dxf>
              <font>
                <b val="0"/>
                <i/>
                <color theme="0" tint="-0.499984740745262"/>
              </font>
            </x14:dxf>
          </x14:cfRule>
          <xm:sqref>E4</xm:sqref>
        </x14:conditionalFormatting>
        <x14:conditionalFormatting xmlns:xm="http://schemas.microsoft.com/office/excel/2006/main">
          <x14:cfRule type="containsText" priority="1" stopIfTrue="1" operator="containsText" id="{EB32FD3A-D43A-42AD-9E64-AD3938792E2C}">
            <xm:f>NOT(ISERROR(SEARCH("xxx xxx xxx",E5)))</xm:f>
            <xm:f>"xxx xxx xxx"</xm:f>
            <x14:dxf>
              <font>
                <b val="0"/>
                <i/>
                <color theme="0" tint="-0.499984740745262"/>
              </font>
            </x14:dxf>
          </x14:cfRule>
          <xm:sqref>E5</xm:sqref>
        </x14:conditionalFormatting>
      </x14:conditionalFormattings>
    </ext>
  </extLst>
</worksheet>
</file>

<file path=xl/worksheets/sheet3.xml><?xml version="1.0" encoding="utf-8"?>
<worksheet xmlns="http://schemas.openxmlformats.org/spreadsheetml/2006/main" xmlns:r="http://schemas.openxmlformats.org/officeDocument/2006/relationships">
  <sheetPr codeName="Feuil3"/>
  <dimension ref="B1:O42"/>
  <sheetViews>
    <sheetView showGridLines="0" showRowColHeaders="0" tabSelected="1" showRuler="0" zoomScale="90" zoomScaleNormal="90" workbookViewId="0">
      <selection activeCell="D7" sqref="D7"/>
    </sheetView>
  </sheetViews>
  <sheetFormatPr baseColWidth="10" defaultColWidth="11.42578125" defaultRowHeight="15"/>
  <cols>
    <col min="1" max="1" width="15.7109375" style="17" customWidth="1"/>
    <col min="2" max="2" width="33.42578125" style="17" customWidth="1"/>
    <col min="3" max="5" width="30.85546875" style="17" customWidth="1"/>
    <col min="6" max="6" width="17.7109375" style="17" customWidth="1"/>
    <col min="7" max="7" width="14.42578125" style="17" hidden="1" customWidth="1"/>
    <col min="8" max="8" width="30.28515625" style="17" hidden="1" customWidth="1"/>
    <col min="9" max="9" width="12.85546875" style="17" hidden="1" customWidth="1"/>
    <col min="10" max="10" width="24" style="17" hidden="1" customWidth="1"/>
    <col min="11" max="11" width="18.28515625" style="17" hidden="1" customWidth="1"/>
    <col min="12" max="12" width="21.85546875" style="17" hidden="1" customWidth="1"/>
    <col min="13" max="13" width="8" style="17" hidden="1" customWidth="1"/>
    <col min="14" max="14" width="23.28515625" style="17" customWidth="1"/>
    <col min="15" max="16384" width="11.42578125" style="17"/>
  </cols>
  <sheetData>
    <row r="1" spans="2:10" ht="74.25" customHeight="1">
      <c r="B1" s="16"/>
      <c r="C1" s="275"/>
      <c r="D1" s="275"/>
      <c r="E1" s="18"/>
    </row>
    <row r="2" spans="2:10" ht="16.5" customHeight="1"/>
    <row r="3" spans="2:10" ht="16.5" customHeight="1"/>
    <row r="4" spans="2:10" ht="42.75" customHeight="1">
      <c r="B4" s="284" t="s">
        <v>97</v>
      </c>
      <c r="C4" s="284"/>
      <c r="D4" s="284"/>
      <c r="E4" s="284"/>
      <c r="F4" s="284"/>
    </row>
    <row r="5" spans="2:10" ht="23.25" customHeight="1">
      <c r="B5" s="19"/>
      <c r="C5" s="19"/>
      <c r="D5" s="19"/>
      <c r="E5" s="19"/>
      <c r="F5" s="19"/>
    </row>
    <row r="6" spans="2:10" ht="20.25" customHeight="1">
      <c r="B6" s="122"/>
      <c r="C6" s="123" t="s">
        <v>19</v>
      </c>
      <c r="D6" s="123" t="s">
        <v>20</v>
      </c>
      <c r="E6" s="123" t="s">
        <v>21</v>
      </c>
      <c r="F6" s="20"/>
    </row>
    <row r="7" spans="2:10">
      <c r="B7" s="124" t="s">
        <v>2</v>
      </c>
      <c r="C7" s="125" t="s">
        <v>84</v>
      </c>
      <c r="D7" s="125" t="s">
        <v>22</v>
      </c>
      <c r="E7" s="125" t="s">
        <v>22</v>
      </c>
      <c r="F7" s="20"/>
    </row>
    <row r="8" spans="2:10">
      <c r="B8" s="124" t="s">
        <v>6</v>
      </c>
      <c r="C8" s="125">
        <v>11</v>
      </c>
      <c r="D8" s="125"/>
      <c r="E8" s="125"/>
      <c r="F8" s="20"/>
    </row>
    <row r="9" spans="2:10">
      <c r="B9" s="124" t="s">
        <v>17</v>
      </c>
      <c r="C9" s="125">
        <v>1</v>
      </c>
      <c r="D9" s="125"/>
      <c r="E9" s="125"/>
      <c r="F9" s="20"/>
    </row>
    <row r="10" spans="2:10" ht="15.75">
      <c r="B10" s="282"/>
      <c r="C10" s="283"/>
      <c r="D10" s="283"/>
      <c r="E10" s="283"/>
      <c r="F10" s="126" t="s">
        <v>18</v>
      </c>
    </row>
    <row r="11" spans="2:10">
      <c r="B11" s="124" t="s">
        <v>7</v>
      </c>
      <c r="C11" s="127">
        <f>IF('Etat des lieux'!$E$9='Etat des lieux'!$H$8,H38,IF('Etat des lieux'!$E$9='Etat des lieux'!$H$9,H39,IF('Etat des lieux'!$E$9='Etat des lieux'!$H$10,H40,IF('Etat des lieux'!$E$9='Etat des lieux'!$H$11,H41,IF('Etat des lieux'!$E$9='Etat des lieux'!$H$12,H42,"")))))</f>
        <v>130900</v>
      </c>
      <c r="D11" s="127" t="str">
        <f>IF('Etat des lieux'!$E$9='Etat des lieux'!$H$8,I38,IF('Etat des lieux'!$E$9='Etat des lieux'!$H$9,I39,IF('Etat des lieux'!$E$9='Etat des lieux'!$H$10,I40,IF('Etat des lieux'!$E$9='Etat des lieux'!$H$11,I41,IF('Etat des lieux'!$E$9='Etat des lieux'!$H$12,I42,"")))))</f>
        <v/>
      </c>
      <c r="E11" s="127" t="str">
        <f>IF('Etat des lieux'!$E$9='Etat des lieux'!$H$8,J38,IF('Etat des lieux'!$E$9='Etat des lieux'!$H$9,J39,IF('Etat des lieux'!$E$9='Etat des lieux'!$H$10,J40,IF('Etat des lieux'!$E$9='Etat des lieux'!$H$11,J41,IF('Etat des lieux'!$E$9='Etat des lieux'!$H$12,J42,"")))))</f>
        <v/>
      </c>
      <c r="F11" s="128">
        <f>SUM(C11:E11)</f>
        <v>130900</v>
      </c>
    </row>
    <row r="12" spans="2:10">
      <c r="B12" s="129" t="s">
        <v>341</v>
      </c>
      <c r="C12" s="130">
        <f>IF(C11="","",C11*'Etat des lieux'!$H$4/1000)</f>
        <v>418.88</v>
      </c>
      <c r="D12" s="130" t="str">
        <f>IF(D11="","",D11*'Etat des lieux'!$H$4/1000)</f>
        <v/>
      </c>
      <c r="E12" s="130" t="str">
        <f>IF(E11="","",E11*'Etat des lieux'!$H$4/1000)</f>
        <v/>
      </c>
      <c r="F12" s="131">
        <f>SUM(C12:E12)</f>
        <v>418.88</v>
      </c>
    </row>
    <row r="13" spans="2:10">
      <c r="B13" s="21"/>
      <c r="C13" s="52"/>
      <c r="D13" s="20"/>
      <c r="E13" s="20"/>
      <c r="F13" s="20"/>
    </row>
    <row r="14" spans="2:10">
      <c r="B14" s="21"/>
      <c r="C14" s="22"/>
      <c r="D14" s="22"/>
      <c r="E14" s="22"/>
      <c r="F14" s="22"/>
    </row>
    <row r="15" spans="2:10">
      <c r="B15" s="21"/>
      <c r="C15" s="22"/>
      <c r="D15" s="22"/>
      <c r="E15" s="22"/>
      <c r="F15" s="22"/>
    </row>
    <row r="16" spans="2:10" ht="15.75">
      <c r="B16" s="276" t="s">
        <v>234</v>
      </c>
      <c r="C16" s="277"/>
      <c r="D16" s="277"/>
      <c r="E16" s="277"/>
      <c r="H16" s="23" t="s">
        <v>22</v>
      </c>
      <c r="I16" s="23"/>
      <c r="J16" s="42"/>
    </row>
    <row r="17" spans="2:15">
      <c r="B17" s="280" t="s">
        <v>334</v>
      </c>
      <c r="C17" s="281"/>
      <c r="D17" s="281"/>
      <c r="E17" s="281"/>
      <c r="H17" s="23" t="s">
        <v>82</v>
      </c>
      <c r="I17" s="23">
        <v>12400</v>
      </c>
      <c r="J17" s="41"/>
      <c r="L17" s="23" t="s">
        <v>322</v>
      </c>
      <c r="M17" s="23">
        <v>15</v>
      </c>
    </row>
    <row r="18" spans="2:15">
      <c r="B18" s="278" t="s">
        <v>134</v>
      </c>
      <c r="C18" s="279"/>
      <c r="D18" s="279"/>
      <c r="E18" s="279"/>
      <c r="H18" s="23" t="s">
        <v>83</v>
      </c>
      <c r="I18" s="23">
        <v>12200</v>
      </c>
      <c r="J18" s="41"/>
      <c r="L18" s="23" t="s">
        <v>323</v>
      </c>
      <c r="M18" s="23">
        <v>11.5631</v>
      </c>
    </row>
    <row r="19" spans="2:15">
      <c r="H19" s="23" t="s">
        <v>84</v>
      </c>
      <c r="I19" s="23">
        <v>11900</v>
      </c>
      <c r="J19" s="41"/>
    </row>
    <row r="20" spans="2:15">
      <c r="H20" s="23" t="s">
        <v>85</v>
      </c>
      <c r="I20" s="23">
        <v>7100</v>
      </c>
      <c r="J20" s="41"/>
      <c r="L20" s="29"/>
      <c r="M20" s="29"/>
      <c r="N20" s="29"/>
      <c r="O20" s="29"/>
    </row>
    <row r="21" spans="2:15">
      <c r="H21" s="23" t="s">
        <v>86</v>
      </c>
      <c r="I21" s="23">
        <v>5500</v>
      </c>
      <c r="J21" s="41"/>
      <c r="L21" s="29"/>
      <c r="M21" s="29"/>
      <c r="N21" s="29"/>
      <c r="O21" s="29"/>
    </row>
    <row r="23" spans="2:15">
      <c r="J23" s="40">
        <f>'Etat des lieux'!$H$4/1000*H33</f>
        <v>0</v>
      </c>
    </row>
    <row r="24" spans="2:15">
      <c r="J24" s="40">
        <f>'Etat des lieux'!$H$4/1000*H34</f>
        <v>0</v>
      </c>
      <c r="L24" s="29" t="s">
        <v>317</v>
      </c>
      <c r="M24" s="29">
        <v>2.8860999999999999</v>
      </c>
    </row>
    <row r="25" spans="2:15">
      <c r="J25" s="40">
        <f>'Etat des lieux'!$H$4/1000*H35</f>
        <v>0</v>
      </c>
      <c r="L25" s="29" t="s">
        <v>318</v>
      </c>
      <c r="M25" s="29">
        <v>4.6299000000000001</v>
      </c>
    </row>
    <row r="26" spans="2:15">
      <c r="L26" s="29" t="s">
        <v>319</v>
      </c>
      <c r="M26" s="29">
        <v>6.2420999999999998</v>
      </c>
    </row>
    <row r="27" spans="2:15">
      <c r="H27" s="17" t="s">
        <v>22</v>
      </c>
      <c r="L27" s="29" t="s">
        <v>320</v>
      </c>
      <c r="M27" s="29">
        <v>8.4352999999999998</v>
      </c>
    </row>
    <row r="28" spans="2:15">
      <c r="H28" s="17" t="s">
        <v>49</v>
      </c>
    </row>
    <row r="29" spans="2:15">
      <c r="H29" s="17" t="s">
        <v>50</v>
      </c>
    </row>
    <row r="32" spans="2:15">
      <c r="G32"/>
      <c r="H32"/>
      <c r="I32"/>
      <c r="J32"/>
      <c r="K32"/>
      <c r="L32"/>
    </row>
    <row r="33" spans="7:12">
      <c r="G33"/>
      <c r="H33"/>
      <c r="I33"/>
      <c r="J33"/>
      <c r="K33"/>
      <c r="L33"/>
    </row>
    <row r="34" spans="7:12">
      <c r="G34"/>
      <c r="H34"/>
      <c r="I34"/>
      <c r="J34"/>
      <c r="K34"/>
      <c r="L34"/>
    </row>
    <row r="35" spans="7:12">
      <c r="G35"/>
      <c r="H35"/>
      <c r="I35"/>
      <c r="J35"/>
      <c r="K35"/>
      <c r="L35"/>
    </row>
    <row r="37" spans="7:12">
      <c r="H37" s="17" t="s">
        <v>326</v>
      </c>
      <c r="I37" s="17" t="s">
        <v>327</v>
      </c>
      <c r="J37" s="17" t="s">
        <v>328</v>
      </c>
    </row>
    <row r="38" spans="7:12">
      <c r="G38" s="17" t="s">
        <v>316</v>
      </c>
      <c r="H38" s="219">
        <f>IF(C$7=$H$27,"",VLOOKUP(C$7,$H$16:$I$21,2,FALSE)*C$8*C$9)</f>
        <v>130900</v>
      </c>
      <c r="I38" s="219" t="str">
        <f t="shared" ref="I38:J38" si="0">IF(D$7=$H$27,"",VLOOKUP(D$7,$H$16:$I$21,2,FALSE)*D$8*D$9)</f>
        <v/>
      </c>
      <c r="J38" s="219" t="str">
        <f t="shared" si="0"/>
        <v/>
      </c>
    </row>
    <row r="39" spans="7:12">
      <c r="G39" s="17" t="s">
        <v>329</v>
      </c>
      <c r="H39" s="23">
        <f>IF(H$38="","",H$38*$M24/$M$18)</f>
        <v>32672.076692236507</v>
      </c>
      <c r="I39" s="23" t="str">
        <f t="shared" ref="I39:J39" si="1">IF(I$38="","",I$38*$M24/$M$18)</f>
        <v/>
      </c>
      <c r="J39" s="23" t="str">
        <f t="shared" si="1"/>
        <v/>
      </c>
    </row>
    <row r="40" spans="7:12">
      <c r="G40" s="17" t="s">
        <v>330</v>
      </c>
      <c r="H40" s="23">
        <f t="shared" ref="H40:J42" si="2">IF(H$38="","",H$38*$M25/$M$18)</f>
        <v>52412.7535003589</v>
      </c>
      <c r="I40" s="23" t="str">
        <f t="shared" si="2"/>
        <v/>
      </c>
      <c r="J40" s="23" t="str">
        <f t="shared" si="2"/>
        <v/>
      </c>
    </row>
    <row r="41" spans="7:12">
      <c r="G41" s="17" t="s">
        <v>331</v>
      </c>
      <c r="H41" s="23">
        <f t="shared" si="2"/>
        <v>70663.653345556115</v>
      </c>
      <c r="I41" s="23" t="str">
        <f t="shared" si="2"/>
        <v/>
      </c>
      <c r="J41" s="23" t="str">
        <f t="shared" si="2"/>
        <v/>
      </c>
    </row>
    <row r="42" spans="7:12">
      <c r="G42" s="17" t="s">
        <v>332</v>
      </c>
      <c r="H42" s="23">
        <f t="shared" si="2"/>
        <v>95491.759995157001</v>
      </c>
      <c r="I42" s="23" t="str">
        <f t="shared" si="2"/>
        <v/>
      </c>
      <c r="J42" s="23" t="str">
        <f t="shared" si="2"/>
        <v/>
      </c>
    </row>
  </sheetData>
  <sheetProtection algorithmName="SHA-512" hashValue="fWqXgjVNJr3BIRwr8XOSdRmLraiKchM6XFgP4X+O1KY9/dKnPfkwuvpee/trKn94MeIvNChAOhWhrNPK+KqQ4A==" saltValue="Btnvpt8G9iGKjnei4xjchg==" spinCount="100000" sheet="1" selectLockedCells="1"/>
  <mergeCells count="6">
    <mergeCell ref="C1:D1"/>
    <mergeCell ref="B16:E16"/>
    <mergeCell ref="B18:E18"/>
    <mergeCell ref="B17:E17"/>
    <mergeCell ref="B10:E10"/>
    <mergeCell ref="B4:F4"/>
  </mergeCells>
  <phoneticPr fontId="0" type="noConversion"/>
  <dataValidations count="4">
    <dataValidation type="list" allowBlank="1" showInputMessage="1" showErrorMessage="1" sqref="F7">
      <formula1>$H$17:$H$21</formula1>
    </dataValidation>
    <dataValidation type="decimal" allowBlank="1" showInputMessage="1" showErrorMessage="1" error="Opération non éligible" sqref="F8:F9 C9:E9">
      <formula1>0.37</formula1>
      <formula2>1000</formula2>
    </dataValidation>
    <dataValidation type="list" allowBlank="1" showInputMessage="1" showErrorMessage="1" sqref="C7:E7">
      <formula1>$H$16:$H$21</formula1>
    </dataValidation>
    <dataValidation type="decimal" allowBlank="1" showInputMessage="1" showErrorMessage="1" errorTitle="Puissance non éligible" error="La puissance maximale acceptée pour les CEE est de 3000 kW." sqref="C8:E8">
      <formula1>0</formula1>
      <formula2>3000</formula2>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B1:O39"/>
  <sheetViews>
    <sheetView showGridLines="0" showRowColHeaders="0" showRuler="0" zoomScale="90" zoomScaleNormal="90" workbookViewId="0">
      <selection activeCell="C7" sqref="C7"/>
    </sheetView>
  </sheetViews>
  <sheetFormatPr baseColWidth="10" defaultColWidth="11.42578125" defaultRowHeight="15"/>
  <cols>
    <col min="1" max="1" width="15.7109375" style="17" customWidth="1"/>
    <col min="2" max="2" width="33.42578125" style="17" customWidth="1"/>
    <col min="3" max="5" width="30.85546875" style="17" customWidth="1"/>
    <col min="6" max="6" width="17.7109375" style="17" customWidth="1"/>
    <col min="7" max="7" width="14.42578125" style="17" hidden="1" customWidth="1"/>
    <col min="8" max="8" width="30.28515625" style="17" hidden="1" customWidth="1"/>
    <col min="9" max="9" width="12.85546875" style="17" hidden="1" customWidth="1"/>
    <col min="10" max="10" width="24" style="17" hidden="1" customWidth="1"/>
    <col min="11" max="11" width="18.28515625" style="17" hidden="1" customWidth="1"/>
    <col min="12" max="12" width="21.85546875" style="17" hidden="1" customWidth="1"/>
    <col min="13" max="13" width="13.28515625" style="17" hidden="1" customWidth="1"/>
    <col min="14" max="14" width="23.28515625" style="17" customWidth="1"/>
    <col min="15" max="16384" width="11.42578125" style="17"/>
  </cols>
  <sheetData>
    <row r="1" spans="2:11" ht="74.25" customHeight="1">
      <c r="B1" s="16"/>
      <c r="C1" s="275"/>
      <c r="D1" s="275"/>
      <c r="E1" s="18"/>
    </row>
    <row r="2" spans="2:11" ht="16.5" customHeight="1"/>
    <row r="3" spans="2:11" ht="16.5" customHeight="1"/>
    <row r="4" spans="2:11" ht="42.75" customHeight="1">
      <c r="B4" s="284" t="s">
        <v>241</v>
      </c>
      <c r="C4" s="284"/>
      <c r="D4" s="284"/>
      <c r="E4" s="284"/>
      <c r="F4" s="284"/>
    </row>
    <row r="5" spans="2:11" ht="23.25" customHeight="1">
      <c r="B5" s="19"/>
      <c r="C5" s="19"/>
      <c r="D5" s="19"/>
      <c r="E5" s="19"/>
      <c r="F5" s="19"/>
    </row>
    <row r="6" spans="2:11" ht="20.25" customHeight="1">
      <c r="B6" s="197"/>
      <c r="C6" s="123" t="s">
        <v>19</v>
      </c>
      <c r="D6" s="123" t="s">
        <v>20</v>
      </c>
      <c r="E6" s="123" t="s">
        <v>21</v>
      </c>
      <c r="F6" s="20"/>
    </row>
    <row r="7" spans="2:11">
      <c r="B7" s="124" t="s">
        <v>6</v>
      </c>
      <c r="C7" s="125"/>
      <c r="D7" s="125"/>
      <c r="E7" s="125"/>
      <c r="F7" s="20"/>
    </row>
    <row r="8" spans="2:11">
      <c r="B8" s="124" t="s">
        <v>17</v>
      </c>
      <c r="C8" s="125"/>
      <c r="D8" s="125"/>
      <c r="E8" s="125"/>
      <c r="F8" s="20"/>
    </row>
    <row r="9" spans="2:11" ht="15.75">
      <c r="B9" s="286"/>
      <c r="C9" s="287"/>
      <c r="D9" s="287"/>
      <c r="E9" s="288"/>
      <c r="F9" s="126" t="s">
        <v>18</v>
      </c>
    </row>
    <row r="10" spans="2:11">
      <c r="B10" s="124" t="s">
        <v>7</v>
      </c>
      <c r="C10" s="127" t="str">
        <f>IF('Etat des lieux'!$E$9='Etat des lieux'!$H$8,H35,IF('Etat des lieux'!$E$9='Etat des lieux'!$H$9,H36,IF('Etat des lieux'!$E$9='Etat des lieux'!$H$10,H37,IF('Etat des lieux'!$E$9='Etat des lieux'!$H$11,H38,IF('Etat des lieux'!$E$9='Etat des lieux'!$H$12,H39,"")))))</f>
        <v/>
      </c>
      <c r="D10" s="127" t="str">
        <f>IF('Etat des lieux'!$E$9='Etat des lieux'!$H$8,I35,IF('Etat des lieux'!$E$9='Etat des lieux'!$H$9,I36,IF('Etat des lieux'!$E$9='Etat des lieux'!$H$10,I37,IF('Etat des lieux'!$E$9='Etat des lieux'!$H$11,I38,IF('Etat des lieux'!$E$9='Etat des lieux'!$H$12,I39,"")))))</f>
        <v/>
      </c>
      <c r="E10" s="127" t="str">
        <f>IF('Etat des lieux'!$E$9='Etat des lieux'!$H$8,J35,IF('Etat des lieux'!$E$9='Etat des lieux'!$H$9,J36,IF('Etat des lieux'!$E$9='Etat des lieux'!$H$10,J37,IF('Etat des lieux'!$E$9='Etat des lieux'!$H$11,J38,IF('Etat des lieux'!$E$9='Etat des lieux'!$H$12,J39,"")))))</f>
        <v/>
      </c>
      <c r="F10" s="128">
        <f>SUM(C10:E10)</f>
        <v>0</v>
      </c>
    </row>
    <row r="11" spans="2:11">
      <c r="B11" s="129" t="s">
        <v>341</v>
      </c>
      <c r="C11" s="130" t="str">
        <f>IF(C10="","",C10*'Etat des lieux'!$H$4/1000)</f>
        <v/>
      </c>
      <c r="D11" s="130" t="str">
        <f>IF(D10="","",D10*'Etat des lieux'!$H$4/1000)</f>
        <v/>
      </c>
      <c r="E11" s="130" t="str">
        <f>IF(E10="","",E10*'Etat des lieux'!$H$4/1000)</f>
        <v/>
      </c>
      <c r="F11" s="131">
        <f>SUM(C11:E11)</f>
        <v>0</v>
      </c>
    </row>
    <row r="12" spans="2:11">
      <c r="B12" s="21"/>
      <c r="C12" s="52"/>
      <c r="D12" s="20"/>
      <c r="E12" s="20"/>
      <c r="F12" s="20"/>
    </row>
    <row r="13" spans="2:11">
      <c r="B13" s="21"/>
      <c r="C13" s="22"/>
      <c r="D13" s="22"/>
      <c r="E13" s="22"/>
      <c r="F13" s="22"/>
    </row>
    <row r="14" spans="2:11">
      <c r="B14" s="21"/>
      <c r="C14" s="22"/>
      <c r="D14" s="22"/>
      <c r="E14" s="22"/>
      <c r="F14" s="22"/>
    </row>
    <row r="15" spans="2:11" ht="15.75">
      <c r="B15" s="290" t="s">
        <v>131</v>
      </c>
      <c r="C15" s="290"/>
      <c r="D15" s="290"/>
      <c r="E15" s="290"/>
      <c r="F15" s="290"/>
      <c r="J15" s="17" t="s">
        <v>108</v>
      </c>
      <c r="K15" s="17">
        <v>19300</v>
      </c>
    </row>
    <row r="16" spans="2:11">
      <c r="B16" s="289" t="s">
        <v>242</v>
      </c>
      <c r="C16" s="289"/>
      <c r="D16" s="289"/>
      <c r="E16" s="289"/>
      <c r="F16" s="289"/>
      <c r="H16"/>
      <c r="I16"/>
      <c r="J16"/>
    </row>
    <row r="17" spans="2:15" ht="32.25" customHeight="1">
      <c r="B17" s="285"/>
      <c r="C17" s="285"/>
      <c r="D17" s="285"/>
      <c r="E17" s="285"/>
      <c r="H17"/>
      <c r="I17"/>
      <c r="J17"/>
    </row>
    <row r="18" spans="2:15" ht="30" customHeight="1">
      <c r="B18" s="51"/>
      <c r="H18"/>
      <c r="I18"/>
      <c r="J18"/>
    </row>
    <row r="19" spans="2:15">
      <c r="H19"/>
      <c r="I19"/>
      <c r="J19"/>
      <c r="L19" s="23" t="s">
        <v>322</v>
      </c>
      <c r="M19" s="23">
        <v>15</v>
      </c>
    </row>
    <row r="20" spans="2:15">
      <c r="H20"/>
      <c r="I20"/>
      <c r="J20"/>
      <c r="L20" s="23" t="s">
        <v>323</v>
      </c>
      <c r="M20" s="23">
        <v>11.5631</v>
      </c>
    </row>
    <row r="21" spans="2:15">
      <c r="H21"/>
      <c r="I21"/>
      <c r="J21"/>
    </row>
    <row r="22" spans="2:15">
      <c r="L22" s="29"/>
      <c r="M22" s="29"/>
      <c r="N22" s="29"/>
      <c r="O22" s="29"/>
    </row>
    <row r="23" spans="2:15">
      <c r="H23" s="39">
        <f>K15*C7*C8</f>
        <v>0</v>
      </c>
      <c r="J23" s="40">
        <f>'Etat des lieux'!$H$4/1000*H23</f>
        <v>0</v>
      </c>
      <c r="L23" s="29"/>
      <c r="M23" s="29"/>
      <c r="N23" s="29"/>
      <c r="O23" s="29"/>
    </row>
    <row r="24" spans="2:15">
      <c r="H24" s="39">
        <f>K15*D7*D8</f>
        <v>0</v>
      </c>
      <c r="J24" s="40">
        <f>'Etat des lieux'!$H$4/1000*H24</f>
        <v>0</v>
      </c>
    </row>
    <row r="25" spans="2:15">
      <c r="H25" s="39">
        <f>K15*E7*E8</f>
        <v>0</v>
      </c>
      <c r="J25" s="40">
        <f>'Etat des lieux'!$H$4/1000*H25</f>
        <v>0</v>
      </c>
      <c r="L25" s="29" t="s">
        <v>317</v>
      </c>
      <c r="M25" s="29">
        <v>2.8860999999999999</v>
      </c>
    </row>
    <row r="26" spans="2:15">
      <c r="L26" s="29" t="s">
        <v>318</v>
      </c>
      <c r="M26" s="29">
        <v>4.6299000000000001</v>
      </c>
    </row>
    <row r="27" spans="2:15">
      <c r="H27" s="17" t="s">
        <v>22</v>
      </c>
      <c r="L27" s="29" t="s">
        <v>319</v>
      </c>
      <c r="M27" s="29">
        <v>6.2420999999999998</v>
      </c>
    </row>
    <row r="28" spans="2:15">
      <c r="H28" s="17" t="s">
        <v>49</v>
      </c>
      <c r="L28" s="29" t="s">
        <v>320</v>
      </c>
      <c r="M28" s="29">
        <v>8.4352999999999998</v>
      </c>
    </row>
    <row r="29" spans="2:15">
      <c r="H29" s="17" t="s">
        <v>50</v>
      </c>
    </row>
    <row r="34" spans="7:10">
      <c r="H34" s="17" t="s">
        <v>326</v>
      </c>
      <c r="I34" s="17" t="s">
        <v>327</v>
      </c>
      <c r="J34" s="17" t="s">
        <v>328</v>
      </c>
    </row>
    <row r="35" spans="7:10">
      <c r="G35" s="17" t="s">
        <v>316</v>
      </c>
      <c r="H35" s="39" t="str">
        <f>IF(C$8="","",C$7*C$8*$K$15)</f>
        <v/>
      </c>
      <c r="I35" s="39" t="str">
        <f t="shared" ref="I35:J35" si="0">IF(D$8="","",D$7*D$8*$K$15)</f>
        <v/>
      </c>
      <c r="J35" s="39" t="str">
        <f t="shared" si="0"/>
        <v/>
      </c>
    </row>
    <row r="36" spans="7:10">
      <c r="G36" s="17" t="s">
        <v>329</v>
      </c>
      <c r="H36" s="23" t="str">
        <f>IF(H$35="","",H$35*$M25/$M$20)</f>
        <v/>
      </c>
      <c r="I36" s="23" t="str">
        <f t="shared" ref="I36:J36" si="1">IF(I$35="","",I$35*$M25/$M$20)</f>
        <v/>
      </c>
      <c r="J36" s="23" t="str">
        <f t="shared" si="1"/>
        <v/>
      </c>
    </row>
    <row r="37" spans="7:10">
      <c r="G37" s="17" t="s">
        <v>330</v>
      </c>
      <c r="H37" s="23" t="str">
        <f>IF(H$35="","",H$35*$M26/$M$20)</f>
        <v/>
      </c>
      <c r="I37" s="23" t="str">
        <f t="shared" ref="I37:J37" si="2">IF(I$35="","",I$35*$M26/$M$20)</f>
        <v/>
      </c>
      <c r="J37" s="23" t="str">
        <f t="shared" si="2"/>
        <v/>
      </c>
    </row>
    <row r="38" spans="7:10">
      <c r="G38" s="17" t="s">
        <v>331</v>
      </c>
      <c r="H38" s="23" t="str">
        <f>IF(H$35="","",H$35*$M27/$M$20)</f>
        <v/>
      </c>
      <c r="I38" s="23" t="str">
        <f t="shared" ref="I38:J38" si="3">IF(I$35="","",I$35*$M27/$M$20)</f>
        <v/>
      </c>
      <c r="J38" s="23" t="str">
        <f t="shared" si="3"/>
        <v/>
      </c>
    </row>
    <row r="39" spans="7:10">
      <c r="G39" s="17" t="s">
        <v>332</v>
      </c>
      <c r="H39" s="23" t="str">
        <f>IF(H$35="","",H$35*$M28/$M$20)</f>
        <v/>
      </c>
      <c r="I39" s="23" t="str">
        <f t="shared" ref="I39:J39" si="4">IF(I$35="","",I$35*$M28/$M$20)</f>
        <v/>
      </c>
      <c r="J39" s="23" t="str">
        <f t="shared" si="4"/>
        <v/>
      </c>
    </row>
  </sheetData>
  <sheetProtection algorithmName="SHA-512" hashValue="rmDo0VzaKVkzYNfAty72Jcl6QarEfT0HicXBNJH/GGujg7FP0+WnOdGlT2BIhidMjcFCwN1MynchbHmYIcd7nQ==" saltValue="Mtgiz91wxMIHlccjDpcJUw==" spinCount="100000" sheet="1" selectLockedCells="1"/>
  <mergeCells count="6">
    <mergeCell ref="B17:E17"/>
    <mergeCell ref="B9:E9"/>
    <mergeCell ref="B16:F16"/>
    <mergeCell ref="C1:D1"/>
    <mergeCell ref="B4:F4"/>
    <mergeCell ref="B15:F15"/>
  </mergeCells>
  <dataValidations count="2">
    <dataValidation type="decimal" allowBlank="1" showInputMessage="1" showErrorMessage="1" error="Opération non éligible" sqref="F7:F8 C8:E8">
      <formula1>0.37</formula1>
      <formula2>1000</formula2>
    </dataValidation>
    <dataValidation type="decimal" allowBlank="1" showInputMessage="1" showErrorMessage="1" errorTitle="Puissance non éligible" error="La puissance maximale acceptée pour les CEE est de 400 kW." sqref="C7:E7">
      <formula1>0</formula1>
      <formula2>400</formula2>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Feuil5"/>
  <dimension ref="C1:P100"/>
  <sheetViews>
    <sheetView showGridLines="0" showRowColHeaders="0" showRuler="0" zoomScale="90" zoomScaleNormal="90" workbookViewId="0">
      <selection activeCell="D5" sqref="D5"/>
    </sheetView>
  </sheetViews>
  <sheetFormatPr baseColWidth="10" defaultColWidth="11.42578125" defaultRowHeight="15"/>
  <cols>
    <col min="1" max="1" width="15.7109375" customWidth="1"/>
    <col min="2" max="2" width="12.5703125" customWidth="1"/>
    <col min="3" max="3" width="39.85546875" bestFit="1" customWidth="1"/>
    <col min="4" max="6" width="29.42578125" customWidth="1"/>
    <col min="7" max="7" width="22.28515625" customWidth="1"/>
    <col min="8" max="8" width="11.28515625" hidden="1" customWidth="1"/>
    <col min="9" max="9" width="23.42578125" hidden="1" customWidth="1"/>
    <col min="10" max="10" width="25.28515625" hidden="1" customWidth="1"/>
    <col min="11" max="11" width="12.85546875" hidden="1" customWidth="1"/>
    <col min="12" max="12" width="11.42578125" hidden="1" customWidth="1"/>
    <col min="13" max="13" width="14.140625" hidden="1" customWidth="1"/>
    <col min="14" max="14" width="14" hidden="1" customWidth="1"/>
    <col min="15" max="15" width="13.85546875" hidden="1" customWidth="1"/>
    <col min="16" max="16" width="11.42578125" hidden="1" customWidth="1"/>
    <col min="17" max="18" width="11.42578125" customWidth="1"/>
  </cols>
  <sheetData>
    <row r="1" spans="3:16" ht="41.25" customHeight="1"/>
    <row r="2" spans="3:16" ht="18.75">
      <c r="C2" s="295" t="s">
        <v>53</v>
      </c>
      <c r="D2" s="295"/>
      <c r="E2" s="295"/>
      <c r="F2" s="295"/>
      <c r="G2" s="295"/>
      <c r="O2" s="2">
        <v>1</v>
      </c>
      <c r="P2" s="2" t="s">
        <v>12</v>
      </c>
    </row>
    <row r="3" spans="3:16">
      <c r="C3" s="3"/>
      <c r="D3" s="3"/>
      <c r="E3" s="3"/>
      <c r="F3" s="3"/>
      <c r="G3" s="3"/>
      <c r="O3" s="2"/>
      <c r="P3" s="2"/>
    </row>
    <row r="4" spans="3:16" ht="42.75" customHeight="1">
      <c r="C4" s="132"/>
      <c r="D4" s="133" t="s">
        <v>19</v>
      </c>
      <c r="E4" s="133" t="s">
        <v>20</v>
      </c>
      <c r="F4" s="133" t="s">
        <v>21</v>
      </c>
      <c r="G4" s="3"/>
      <c r="O4" s="2">
        <v>2</v>
      </c>
      <c r="P4" s="2" t="s">
        <v>12</v>
      </c>
    </row>
    <row r="5" spans="3:16" ht="23.25" customHeight="1">
      <c r="C5" s="134" t="s">
        <v>107</v>
      </c>
      <c r="D5" s="125" t="s">
        <v>22</v>
      </c>
      <c r="E5" s="125" t="s">
        <v>22</v>
      </c>
      <c r="F5" s="125" t="s">
        <v>22</v>
      </c>
      <c r="G5" s="3"/>
      <c r="I5" s="294"/>
      <c r="J5" s="294"/>
      <c r="O5" s="2">
        <v>3</v>
      </c>
      <c r="P5" s="2" t="s">
        <v>12</v>
      </c>
    </row>
    <row r="6" spans="3:16" ht="20.25" customHeight="1">
      <c r="C6" s="134" t="s">
        <v>57</v>
      </c>
      <c r="D6" s="125" t="s">
        <v>22</v>
      </c>
      <c r="E6" s="125" t="s">
        <v>22</v>
      </c>
      <c r="F6" s="125" t="s">
        <v>22</v>
      </c>
      <c r="G6" s="3"/>
      <c r="I6" s="4"/>
      <c r="J6" s="4"/>
      <c r="O6" s="2"/>
      <c r="P6" s="2"/>
    </row>
    <row r="7" spans="3:16">
      <c r="C7" s="134" t="s">
        <v>132</v>
      </c>
      <c r="D7" s="125"/>
      <c r="E7" s="125"/>
      <c r="F7" s="125"/>
      <c r="G7" s="3"/>
      <c r="O7" s="2">
        <v>5</v>
      </c>
      <c r="P7" s="2" t="s">
        <v>12</v>
      </c>
    </row>
    <row r="8" spans="3:16">
      <c r="C8" s="134" t="s">
        <v>38</v>
      </c>
      <c r="D8" s="125"/>
      <c r="E8" s="125"/>
      <c r="F8" s="125"/>
      <c r="G8" s="3"/>
      <c r="O8" s="2">
        <v>8</v>
      </c>
      <c r="P8" s="2" t="s">
        <v>12</v>
      </c>
    </row>
    <row r="9" spans="3:16" ht="16.5" customHeight="1">
      <c r="C9" s="296"/>
      <c r="D9" s="297"/>
      <c r="E9" s="297"/>
      <c r="F9" s="297"/>
      <c r="G9" s="128" t="s">
        <v>18</v>
      </c>
      <c r="L9" s="1" t="str">
        <f>VLOOKUP('Etat des lieux'!E8,$O$2:$P$100,2,FALSE)</f>
        <v>H1</v>
      </c>
      <c r="O9" s="2">
        <v>10</v>
      </c>
      <c r="P9" s="2" t="s">
        <v>12</v>
      </c>
    </row>
    <row r="10" spans="3:16" ht="16.5" customHeight="1">
      <c r="C10" s="134" t="s">
        <v>7</v>
      </c>
      <c r="D10" s="220" t="str">
        <f>IF(I49="","",IF('Etat des lieux'!$E$9='Etat des lieux'!$H$8,I49,IF('Etat des lieux'!$E$9='Etat des lieux'!$H$9,I50,IF('Etat des lieux'!$E$9='Etat des lieux'!$H$10,I51,IF('Etat des lieux'!$E$9='Etat des lieux'!$H$11,I52,IF('Etat des lieux'!$E$9='Etat des lieux'!$H$12,I53,""))))))</f>
        <v/>
      </c>
      <c r="E10" s="220" t="str">
        <f>IF(J49="","",IF('Etat des lieux'!$E$9='Etat des lieux'!$H$8,J49,IF('Etat des lieux'!$E$9='Etat des lieux'!$H$9,J50,IF('Etat des lieux'!$E$9='Etat des lieux'!$H$10,J51,IF('Etat des lieux'!$E$9='Etat des lieux'!$H$11,J52,IF('Etat des lieux'!$E$9='Etat des lieux'!$H$12,J53,""))))))</f>
        <v/>
      </c>
      <c r="F10" s="220" t="str">
        <f>IF(K49="","",IF('Etat des lieux'!$E$9='Etat des lieux'!$H$8,K49,IF('Etat des lieux'!$E$9='Etat des lieux'!$H$9,K50,IF('Etat des lieux'!$E$9='Etat des lieux'!$H$10,K51,IF('Etat des lieux'!$E$9='Etat des lieux'!$H$11,K52,IF('Etat des lieux'!$E$9='Etat des lieux'!$H$12,K53,""))))))</f>
        <v/>
      </c>
      <c r="G10" s="135">
        <f>SUM(D10:F10)</f>
        <v>0</v>
      </c>
      <c r="O10" s="2"/>
      <c r="P10" s="2"/>
    </row>
    <row r="11" spans="3:16" ht="16.5" customHeight="1">
      <c r="C11" s="134" t="s">
        <v>340</v>
      </c>
      <c r="D11" s="130" t="str">
        <f>IF(D10="","",D10*'Etat des lieux'!$H$4/1000)</f>
        <v/>
      </c>
      <c r="E11" s="130" t="str">
        <f>IF(E10="","",E10*'Etat des lieux'!$H$4/1000)</f>
        <v/>
      </c>
      <c r="F11" s="130" t="str">
        <f>IF(F10="","",F10*'Etat des lieux'!$H$4/1000)</f>
        <v/>
      </c>
      <c r="G11" s="137">
        <f>SUM(D11:F11)</f>
        <v>0</v>
      </c>
      <c r="O11" s="2"/>
      <c r="P11" s="2"/>
    </row>
    <row r="12" spans="3:16" ht="15" customHeight="1">
      <c r="O12" s="2">
        <v>14</v>
      </c>
      <c r="P12" s="2" t="s">
        <v>12</v>
      </c>
    </row>
    <row r="13" spans="3:16">
      <c r="C13" s="300" t="s">
        <v>131</v>
      </c>
      <c r="D13" s="300"/>
      <c r="E13" s="300"/>
      <c r="F13" s="300"/>
      <c r="G13" s="121"/>
      <c r="O13" s="2">
        <v>15</v>
      </c>
      <c r="P13" s="2" t="s">
        <v>12</v>
      </c>
    </row>
    <row r="14" spans="3:16">
      <c r="C14" s="298" t="s">
        <v>133</v>
      </c>
      <c r="D14" s="299"/>
      <c r="E14" s="299"/>
      <c r="F14" s="299"/>
      <c r="G14" s="299"/>
      <c r="O14" s="2">
        <v>19</v>
      </c>
      <c r="P14" s="2" t="s">
        <v>12</v>
      </c>
    </row>
    <row r="15" spans="3:16">
      <c r="C15" s="299"/>
      <c r="D15" s="299"/>
      <c r="E15" s="299"/>
      <c r="F15" s="299"/>
      <c r="G15" s="299"/>
      <c r="O15" s="2">
        <v>21</v>
      </c>
      <c r="P15" s="2" t="s">
        <v>12</v>
      </c>
    </row>
    <row r="16" spans="3:16">
      <c r="O16" s="2">
        <v>23</v>
      </c>
      <c r="P16" s="2" t="s">
        <v>12</v>
      </c>
    </row>
    <row r="17" spans="3:16">
      <c r="C17" s="301" t="s">
        <v>237</v>
      </c>
      <c r="D17" s="301"/>
      <c r="E17" s="301"/>
      <c r="F17" s="301"/>
      <c r="G17" s="301"/>
      <c r="O17" s="2">
        <v>25</v>
      </c>
      <c r="P17" s="2" t="s">
        <v>12</v>
      </c>
    </row>
    <row r="18" spans="3:16">
      <c r="C18" s="301"/>
      <c r="D18" s="301"/>
      <c r="E18" s="301"/>
      <c r="F18" s="301"/>
      <c r="G18" s="301"/>
      <c r="O18" s="2">
        <v>27</v>
      </c>
      <c r="P18" s="2" t="s">
        <v>12</v>
      </c>
    </row>
    <row r="19" spans="3:16">
      <c r="O19" s="2">
        <v>28</v>
      </c>
      <c r="P19" s="2" t="s">
        <v>12</v>
      </c>
    </row>
    <row r="20" spans="3:16" ht="20.25" customHeight="1">
      <c r="O20" s="2">
        <v>38</v>
      </c>
      <c r="P20" s="2" t="s">
        <v>12</v>
      </c>
    </row>
    <row r="21" spans="3:16">
      <c r="O21" s="2">
        <v>39</v>
      </c>
      <c r="P21" s="2" t="s">
        <v>12</v>
      </c>
    </row>
    <row r="22" spans="3:16">
      <c r="I22" s="12" t="s">
        <v>22</v>
      </c>
      <c r="J22" s="1" t="s">
        <v>22</v>
      </c>
      <c r="K22" s="1" t="s">
        <v>12</v>
      </c>
      <c r="L22" s="1" t="s">
        <v>13</v>
      </c>
      <c r="M22" s="1" t="s">
        <v>14</v>
      </c>
      <c r="O22" s="2">
        <v>42</v>
      </c>
      <c r="P22" s="2" t="s">
        <v>12</v>
      </c>
    </row>
    <row r="23" spans="3:16">
      <c r="I23" s="11" t="s">
        <v>105</v>
      </c>
      <c r="J23" s="1" t="s">
        <v>8</v>
      </c>
      <c r="K23" s="1">
        <v>6400</v>
      </c>
      <c r="L23" s="1">
        <v>6000</v>
      </c>
      <c r="M23" s="1">
        <v>5000</v>
      </c>
      <c r="O23" s="2">
        <v>43</v>
      </c>
      <c r="P23" s="2" t="s">
        <v>12</v>
      </c>
    </row>
    <row r="24" spans="3:16">
      <c r="I24" s="13" t="s">
        <v>106</v>
      </c>
      <c r="J24" s="1" t="s">
        <v>9</v>
      </c>
      <c r="K24" s="1">
        <v>15900</v>
      </c>
      <c r="L24" s="1">
        <v>15000</v>
      </c>
      <c r="M24" s="1">
        <v>12600</v>
      </c>
      <c r="O24" s="2">
        <v>45</v>
      </c>
      <c r="P24" s="2" t="s">
        <v>12</v>
      </c>
    </row>
    <row r="25" spans="3:16" ht="22.5" customHeight="1">
      <c r="J25" s="1" t="s">
        <v>10</v>
      </c>
      <c r="K25" s="1">
        <v>19700</v>
      </c>
      <c r="L25" s="1">
        <v>18600</v>
      </c>
      <c r="M25" s="1">
        <v>15600</v>
      </c>
      <c r="O25" s="2">
        <v>51</v>
      </c>
      <c r="P25" s="2" t="s">
        <v>12</v>
      </c>
    </row>
    <row r="26" spans="3:16">
      <c r="J26" s="1" t="s">
        <v>11</v>
      </c>
      <c r="K26" s="1">
        <v>26700</v>
      </c>
      <c r="L26" s="1">
        <v>25200</v>
      </c>
      <c r="M26" s="1">
        <v>21100</v>
      </c>
      <c r="O26" s="2">
        <v>52</v>
      </c>
      <c r="P26" s="2" t="s">
        <v>12</v>
      </c>
    </row>
    <row r="27" spans="3:16">
      <c r="J27" s="1"/>
      <c r="K27" s="1"/>
      <c r="L27" s="1"/>
      <c r="M27" s="1"/>
      <c r="O27" s="2">
        <v>54</v>
      </c>
      <c r="P27" s="2" t="s">
        <v>12</v>
      </c>
    </row>
    <row r="28" spans="3:16">
      <c r="J28" s="1" t="s">
        <v>8</v>
      </c>
      <c r="K28" s="291">
        <v>10300</v>
      </c>
      <c r="L28" s="292"/>
      <c r="M28" s="293"/>
      <c r="O28" s="2">
        <v>55</v>
      </c>
      <c r="P28" s="2" t="s">
        <v>12</v>
      </c>
    </row>
    <row r="29" spans="3:16">
      <c r="J29" s="1" t="s">
        <v>9</v>
      </c>
      <c r="K29" s="291">
        <v>25600</v>
      </c>
      <c r="L29" s="292"/>
      <c r="M29" s="293"/>
      <c r="O29" s="2">
        <v>57</v>
      </c>
      <c r="P29" s="2" t="s">
        <v>12</v>
      </c>
    </row>
    <row r="30" spans="3:16">
      <c r="J30" s="1" t="s">
        <v>10</v>
      </c>
      <c r="K30" s="291">
        <v>31800</v>
      </c>
      <c r="L30" s="292"/>
      <c r="M30" s="293"/>
      <c r="O30" s="2">
        <v>58</v>
      </c>
      <c r="P30" s="2" t="s">
        <v>12</v>
      </c>
    </row>
    <row r="31" spans="3:16">
      <c r="J31" s="1" t="s">
        <v>11</v>
      </c>
      <c r="K31" s="291">
        <v>43100</v>
      </c>
      <c r="L31" s="292"/>
      <c r="M31" s="293"/>
      <c r="O31" s="2">
        <v>59</v>
      </c>
      <c r="P31" s="2" t="s">
        <v>12</v>
      </c>
    </row>
    <row r="32" spans="3:16">
      <c r="O32" s="2">
        <v>60</v>
      </c>
      <c r="P32" s="2" t="s">
        <v>12</v>
      </c>
    </row>
    <row r="33" spans="9:16">
      <c r="I33" s="38" t="s">
        <v>108</v>
      </c>
      <c r="J33" s="38" t="s">
        <v>109</v>
      </c>
      <c r="K33" s="38" t="s">
        <v>110</v>
      </c>
      <c r="O33" s="2">
        <v>61</v>
      </c>
      <c r="P33" s="2" t="s">
        <v>12</v>
      </c>
    </row>
    <row r="34" spans="9:16">
      <c r="I34" s="37" t="str">
        <f>IF($D$5=$I$23,VLOOKUP($D$6,$J$23:$M$26,IF($L$9="H1",2,IF($L$9="H2",3,4)),FALSE),IF($D$5=$I$24,VLOOKUP($D$6,$J$28:$M$31,2,FALSE),""))</f>
        <v/>
      </c>
      <c r="J34" s="37" t="e">
        <f>($I$34*$D$7*$D$8)</f>
        <v>#VALUE!</v>
      </c>
      <c r="K34" s="37" t="str">
        <f>IF(ISERROR(J34*'Etat des lieux'!$H$4/1000),"",J34*'Etat des lieux'!$H$4/1000)</f>
        <v/>
      </c>
      <c r="O34" s="2">
        <v>62</v>
      </c>
      <c r="P34" s="2" t="s">
        <v>12</v>
      </c>
    </row>
    <row r="35" spans="9:16">
      <c r="I35" s="37" t="str">
        <f>IF($E$5=$I$23,VLOOKUP($E$6,$J$23:$M$26,IF($L$9="H1",2,IF($L$9="H2",3,4)),FALSE),IF($E$5=$I$24,VLOOKUP($E$6,$J$28:$M$31,2,FALSE),""))</f>
        <v/>
      </c>
      <c r="J35" s="37" t="e">
        <f>($I$35*$E$7*$E$8)</f>
        <v>#VALUE!</v>
      </c>
      <c r="K35" s="37" t="str">
        <f>IF(ISERROR(J35*'Etat des lieux'!$H$4/1000),"",J35*'Etat des lieux'!$H$4/1000)</f>
        <v/>
      </c>
      <c r="O35" s="2">
        <v>63</v>
      </c>
      <c r="P35" s="2" t="s">
        <v>12</v>
      </c>
    </row>
    <row r="36" spans="9:16">
      <c r="I36" s="37" t="str">
        <f>IF($F$5=$I$23,VLOOKUP($F$6,$J$23:$M$26,IF($L$9="H1",2,IF($L$9="H2",3,4)),FALSE),IF($F$5=$I$24,VLOOKUP($F$6,$J$28:$M$31,2,FALSE),""))</f>
        <v/>
      </c>
      <c r="J36" s="37" t="e">
        <f>($I$36*$F$7*$F$8)</f>
        <v>#VALUE!</v>
      </c>
      <c r="K36" s="37" t="str">
        <f>IF(ISERROR(J36*'Etat des lieux'!$H$4/1000),"",J36*'Etat des lieux'!$H$4/1000)</f>
        <v/>
      </c>
      <c r="O36" s="2">
        <v>67</v>
      </c>
      <c r="P36" s="2" t="s">
        <v>12</v>
      </c>
    </row>
    <row r="37" spans="9:16">
      <c r="O37" s="2">
        <v>68</v>
      </c>
      <c r="P37" s="2" t="s">
        <v>12</v>
      </c>
    </row>
    <row r="38" spans="9:16">
      <c r="I38" t="s">
        <v>22</v>
      </c>
      <c r="O38" s="2">
        <v>69</v>
      </c>
      <c r="P38" s="2" t="s">
        <v>12</v>
      </c>
    </row>
    <row r="39" spans="9:16">
      <c r="I39" t="s">
        <v>51</v>
      </c>
      <c r="O39" s="2">
        <v>70</v>
      </c>
      <c r="P39" s="2" t="s">
        <v>12</v>
      </c>
    </row>
    <row r="40" spans="9:16">
      <c r="I40" t="s">
        <v>52</v>
      </c>
      <c r="O40" s="2">
        <v>71</v>
      </c>
      <c r="P40" s="2" t="s">
        <v>12</v>
      </c>
    </row>
    <row r="41" spans="9:16">
      <c r="I41" t="s">
        <v>54</v>
      </c>
      <c r="O41" s="2">
        <v>73</v>
      </c>
      <c r="P41" s="2" t="s">
        <v>12</v>
      </c>
    </row>
    <row r="42" spans="9:16">
      <c r="L42" s="23" t="s">
        <v>322</v>
      </c>
      <c r="M42" s="23">
        <v>15</v>
      </c>
      <c r="O42" s="2">
        <v>74</v>
      </c>
      <c r="P42" s="2" t="s">
        <v>12</v>
      </c>
    </row>
    <row r="43" spans="9:16">
      <c r="L43" s="23" t="s">
        <v>323</v>
      </c>
      <c r="M43" s="23">
        <v>10.3851</v>
      </c>
      <c r="O43" s="2">
        <v>75</v>
      </c>
      <c r="P43" s="2" t="s">
        <v>12</v>
      </c>
    </row>
    <row r="44" spans="9:16">
      <c r="O44" s="2">
        <v>76</v>
      </c>
      <c r="P44" s="2" t="s">
        <v>12</v>
      </c>
    </row>
    <row r="45" spans="9:16">
      <c r="O45" s="2">
        <v>77</v>
      </c>
      <c r="P45" s="2" t="s">
        <v>12</v>
      </c>
    </row>
    <row r="46" spans="9:16">
      <c r="O46" s="2">
        <v>78</v>
      </c>
      <c r="P46" s="2" t="s">
        <v>12</v>
      </c>
    </row>
    <row r="47" spans="9:16">
      <c r="O47" s="2">
        <v>80</v>
      </c>
      <c r="P47" s="2" t="s">
        <v>12</v>
      </c>
    </row>
    <row r="48" spans="9:16">
      <c r="I48" s="17" t="s">
        <v>326</v>
      </c>
      <c r="J48" s="17" t="s">
        <v>327</v>
      </c>
      <c r="K48" s="17" t="s">
        <v>328</v>
      </c>
      <c r="O48" s="2">
        <v>87</v>
      </c>
      <c r="P48" s="2" t="s">
        <v>12</v>
      </c>
    </row>
    <row r="49" spans="8:16">
      <c r="H49" t="s">
        <v>316</v>
      </c>
      <c r="I49" s="37" t="str">
        <f>IF(I34="","",$I$34*$D$7*$D$8)</f>
        <v/>
      </c>
      <c r="J49" s="37" t="str">
        <f>IF(I35="","",$I$35*$E$7*$E$8)</f>
        <v/>
      </c>
      <c r="K49" s="37" t="str">
        <f>IF(I36="","",$I$36*$F$7*$F$8)</f>
        <v/>
      </c>
      <c r="O49" s="2">
        <v>88</v>
      </c>
      <c r="P49" s="2" t="s">
        <v>12</v>
      </c>
    </row>
    <row r="50" spans="8:16">
      <c r="H50" s="17" t="s">
        <v>329</v>
      </c>
      <c r="I50" s="23" t="e">
        <f>I$49*$K59/$M$43</f>
        <v>#VALUE!</v>
      </c>
      <c r="J50" s="23" t="e">
        <f t="shared" ref="J50:K50" si="0">J$49*$K59/$M$43</f>
        <v>#VALUE!</v>
      </c>
      <c r="K50" s="23" t="e">
        <f t="shared" si="0"/>
        <v>#VALUE!</v>
      </c>
      <c r="O50" s="2">
        <v>89</v>
      </c>
      <c r="P50" s="2" t="s">
        <v>12</v>
      </c>
    </row>
    <row r="51" spans="8:16">
      <c r="H51" s="17" t="s">
        <v>330</v>
      </c>
      <c r="I51" s="23" t="e">
        <f t="shared" ref="I51:K51" si="1">I$49*$K60/$M$43</f>
        <v>#VALUE!</v>
      </c>
      <c r="J51" s="23" t="e">
        <f t="shared" si="1"/>
        <v>#VALUE!</v>
      </c>
      <c r="K51" s="23" t="e">
        <f t="shared" si="1"/>
        <v>#VALUE!</v>
      </c>
      <c r="O51" s="2">
        <v>90</v>
      </c>
      <c r="P51" s="2" t="s">
        <v>12</v>
      </c>
    </row>
    <row r="52" spans="8:16">
      <c r="H52" s="17" t="s">
        <v>331</v>
      </c>
      <c r="I52" s="23" t="e">
        <f t="shared" ref="I52:K52" si="2">I$49*$K61/$M$43</f>
        <v>#VALUE!</v>
      </c>
      <c r="J52" s="23" t="e">
        <f t="shared" si="2"/>
        <v>#VALUE!</v>
      </c>
      <c r="K52" s="23" t="e">
        <f t="shared" si="2"/>
        <v>#VALUE!</v>
      </c>
      <c r="O52" s="2">
        <v>91</v>
      </c>
      <c r="P52" s="2" t="s">
        <v>12</v>
      </c>
    </row>
    <row r="53" spans="8:16">
      <c r="H53" s="17" t="s">
        <v>332</v>
      </c>
      <c r="I53" s="23" t="e">
        <f t="shared" ref="I53:K53" si="3">I$49*$K62/$M$43</f>
        <v>#VALUE!</v>
      </c>
      <c r="J53" s="23" t="e">
        <f t="shared" si="3"/>
        <v>#VALUE!</v>
      </c>
      <c r="K53" s="23" t="e">
        <f t="shared" si="3"/>
        <v>#VALUE!</v>
      </c>
      <c r="O53" s="2">
        <v>92</v>
      </c>
      <c r="P53" s="2" t="s">
        <v>12</v>
      </c>
    </row>
    <row r="54" spans="8:16">
      <c r="O54" s="2">
        <v>93</v>
      </c>
      <c r="P54" s="2" t="s">
        <v>12</v>
      </c>
    </row>
    <row r="55" spans="8:16">
      <c r="O55" s="2">
        <v>94</v>
      </c>
      <c r="P55" s="2" t="s">
        <v>12</v>
      </c>
    </row>
    <row r="56" spans="8:16">
      <c r="O56" s="2">
        <v>95</v>
      </c>
      <c r="P56" s="2" t="s">
        <v>12</v>
      </c>
    </row>
    <row r="57" spans="8:16">
      <c r="O57" s="2">
        <v>4</v>
      </c>
      <c r="P57" s="2" t="s">
        <v>13</v>
      </c>
    </row>
    <row r="58" spans="8:16">
      <c r="O58" s="2">
        <v>7</v>
      </c>
      <c r="P58" s="2" t="s">
        <v>13</v>
      </c>
    </row>
    <row r="59" spans="8:16">
      <c r="J59" s="29" t="s">
        <v>317</v>
      </c>
      <c r="K59" s="29">
        <v>2.8860999999999999</v>
      </c>
      <c r="O59" s="2">
        <v>9</v>
      </c>
      <c r="P59" s="2" t="s">
        <v>13</v>
      </c>
    </row>
    <row r="60" spans="8:16">
      <c r="J60" s="29" t="s">
        <v>318</v>
      </c>
      <c r="K60" s="29">
        <v>4.6299000000000001</v>
      </c>
      <c r="O60" s="2">
        <v>12</v>
      </c>
      <c r="P60" s="2" t="s">
        <v>13</v>
      </c>
    </row>
    <row r="61" spans="8:16">
      <c r="J61" s="29" t="s">
        <v>319</v>
      </c>
      <c r="K61" s="29">
        <v>6.2420999999999998</v>
      </c>
      <c r="O61" s="2">
        <v>16</v>
      </c>
      <c r="P61" s="2" t="s">
        <v>13</v>
      </c>
    </row>
    <row r="62" spans="8:16">
      <c r="J62" s="29" t="s">
        <v>320</v>
      </c>
      <c r="K62" s="29">
        <v>8.4352999999999998</v>
      </c>
      <c r="O62" s="2">
        <v>17</v>
      </c>
      <c r="P62" s="2" t="s">
        <v>13</v>
      </c>
    </row>
    <row r="63" spans="8:16">
      <c r="O63" s="2">
        <v>18</v>
      </c>
      <c r="P63" s="2" t="s">
        <v>13</v>
      </c>
    </row>
    <row r="64" spans="8:16">
      <c r="O64" s="2">
        <v>22</v>
      </c>
      <c r="P64" s="2" t="s">
        <v>13</v>
      </c>
    </row>
    <row r="65" spans="15:16">
      <c r="O65" s="2">
        <v>24</v>
      </c>
      <c r="P65" s="2" t="s">
        <v>13</v>
      </c>
    </row>
    <row r="66" spans="15:16">
      <c r="O66" s="2">
        <v>26</v>
      </c>
      <c r="P66" s="2" t="s">
        <v>13</v>
      </c>
    </row>
    <row r="67" spans="15:16">
      <c r="O67" s="2">
        <v>29</v>
      </c>
      <c r="P67" s="2" t="s">
        <v>13</v>
      </c>
    </row>
    <row r="68" spans="15:16">
      <c r="O68" s="2">
        <v>31</v>
      </c>
      <c r="P68" s="2" t="s">
        <v>13</v>
      </c>
    </row>
    <row r="69" spans="15:16">
      <c r="O69" s="2">
        <v>32</v>
      </c>
      <c r="P69" s="2" t="s">
        <v>13</v>
      </c>
    </row>
    <row r="70" spans="15:16">
      <c r="O70" s="2">
        <v>33</v>
      </c>
      <c r="P70" s="2" t="s">
        <v>13</v>
      </c>
    </row>
    <row r="71" spans="15:16">
      <c r="O71" s="2">
        <v>35</v>
      </c>
      <c r="P71" s="2" t="s">
        <v>13</v>
      </c>
    </row>
    <row r="72" spans="15:16">
      <c r="O72" s="2">
        <v>36</v>
      </c>
      <c r="P72" s="2" t="s">
        <v>13</v>
      </c>
    </row>
    <row r="73" spans="15:16">
      <c r="O73" s="2">
        <v>37</v>
      </c>
      <c r="P73" s="2" t="s">
        <v>13</v>
      </c>
    </row>
    <row r="74" spans="15:16">
      <c r="O74" s="2">
        <v>40</v>
      </c>
      <c r="P74" s="2" t="s">
        <v>13</v>
      </c>
    </row>
    <row r="75" spans="15:16">
      <c r="O75" s="2">
        <v>41</v>
      </c>
      <c r="P75" s="2" t="s">
        <v>13</v>
      </c>
    </row>
    <row r="76" spans="15:16">
      <c r="O76" s="2">
        <v>44</v>
      </c>
      <c r="P76" s="2" t="s">
        <v>13</v>
      </c>
    </row>
    <row r="77" spans="15:16">
      <c r="O77" s="2">
        <v>46</v>
      </c>
      <c r="P77" s="2" t="s">
        <v>13</v>
      </c>
    </row>
    <row r="78" spans="15:16">
      <c r="O78" s="2">
        <v>47</v>
      </c>
      <c r="P78" s="2" t="s">
        <v>13</v>
      </c>
    </row>
    <row r="79" spans="15:16">
      <c r="O79" s="2">
        <v>48</v>
      </c>
      <c r="P79" s="2" t="s">
        <v>13</v>
      </c>
    </row>
    <row r="80" spans="15:16">
      <c r="O80" s="2">
        <v>49</v>
      </c>
      <c r="P80" s="2" t="s">
        <v>13</v>
      </c>
    </row>
    <row r="81" spans="15:16">
      <c r="O81" s="2">
        <v>50</v>
      </c>
      <c r="P81" s="2" t="s">
        <v>13</v>
      </c>
    </row>
    <row r="82" spans="15:16">
      <c r="O82" s="2">
        <v>53</v>
      </c>
      <c r="P82" s="2" t="s">
        <v>13</v>
      </c>
    </row>
    <row r="83" spans="15:16">
      <c r="O83" s="2">
        <v>56</v>
      </c>
      <c r="P83" s="2" t="s">
        <v>13</v>
      </c>
    </row>
    <row r="84" spans="15:16">
      <c r="O84" s="2">
        <v>64</v>
      </c>
      <c r="P84" s="2" t="s">
        <v>13</v>
      </c>
    </row>
    <row r="85" spans="15:16">
      <c r="O85" s="2">
        <v>65</v>
      </c>
      <c r="P85" s="2" t="s">
        <v>13</v>
      </c>
    </row>
    <row r="86" spans="15:16">
      <c r="O86" s="2">
        <v>72</v>
      </c>
      <c r="P86" s="2" t="s">
        <v>13</v>
      </c>
    </row>
    <row r="87" spans="15:16">
      <c r="O87" s="2">
        <v>79</v>
      </c>
      <c r="P87" s="2" t="s">
        <v>13</v>
      </c>
    </row>
    <row r="88" spans="15:16">
      <c r="O88" s="2">
        <v>81</v>
      </c>
      <c r="P88" s="2" t="s">
        <v>13</v>
      </c>
    </row>
    <row r="89" spans="15:16">
      <c r="O89" s="2">
        <v>82</v>
      </c>
      <c r="P89" s="2" t="s">
        <v>13</v>
      </c>
    </row>
    <row r="90" spans="15:16">
      <c r="O90" s="2">
        <v>84</v>
      </c>
      <c r="P90" s="2" t="s">
        <v>13</v>
      </c>
    </row>
    <row r="91" spans="15:16">
      <c r="O91" s="2">
        <v>85</v>
      </c>
      <c r="P91" s="2" t="s">
        <v>13</v>
      </c>
    </row>
    <row r="92" spans="15:16">
      <c r="O92" s="2">
        <v>86</v>
      </c>
      <c r="P92" s="2" t="s">
        <v>13</v>
      </c>
    </row>
    <row r="93" spans="15:16">
      <c r="O93" s="2">
        <v>6</v>
      </c>
      <c r="P93" s="2" t="s">
        <v>14</v>
      </c>
    </row>
    <row r="94" spans="15:16">
      <c r="O94" s="2">
        <v>11</v>
      </c>
      <c r="P94" s="2" t="s">
        <v>14</v>
      </c>
    </row>
    <row r="95" spans="15:16">
      <c r="O95" s="2">
        <v>20</v>
      </c>
      <c r="P95" s="2" t="s">
        <v>14</v>
      </c>
    </row>
    <row r="96" spans="15:16">
      <c r="O96" s="2">
        <v>30</v>
      </c>
      <c r="P96" s="2" t="s">
        <v>14</v>
      </c>
    </row>
    <row r="97" spans="15:16">
      <c r="O97" s="2">
        <v>34</v>
      </c>
      <c r="P97" s="2" t="s">
        <v>14</v>
      </c>
    </row>
    <row r="98" spans="15:16">
      <c r="O98" s="2">
        <v>66</v>
      </c>
      <c r="P98" s="2" t="s">
        <v>14</v>
      </c>
    </row>
    <row r="99" spans="15:16">
      <c r="O99" s="2">
        <v>83</v>
      </c>
      <c r="P99" s="2" t="s">
        <v>14</v>
      </c>
    </row>
    <row r="100" spans="15:16">
      <c r="O100" s="2">
        <v>13</v>
      </c>
      <c r="P100" s="2" t="s">
        <v>14</v>
      </c>
    </row>
  </sheetData>
  <sheetProtection algorithmName="SHA-512" hashValue="517noShhkwLre56YEgeOdy9uiKkcFzcCIYh/ny6iJyi1u+1CbtpEsiNJedqQpFgM6s9CaJ9MUGTDxeOog3EzWQ==" saltValue="SvzJgCLpO623xihM3Mgw3Q==" spinCount="100000" sheet="1" selectLockedCells="1"/>
  <dataConsolidate link="1"/>
  <mergeCells count="10">
    <mergeCell ref="K30:M30"/>
    <mergeCell ref="K31:M31"/>
    <mergeCell ref="I5:J5"/>
    <mergeCell ref="C2:G2"/>
    <mergeCell ref="C9:F9"/>
    <mergeCell ref="K28:M28"/>
    <mergeCell ref="K29:M29"/>
    <mergeCell ref="C14:G15"/>
    <mergeCell ref="C13:F13"/>
    <mergeCell ref="C17:G18"/>
  </mergeCells>
  <phoneticPr fontId="0" type="noConversion"/>
  <dataValidations count="2">
    <dataValidation type="list" allowBlank="1" showInputMessage="1" showErrorMessage="1" sqref="D5:F5">
      <formula1>$I$22:$I$24</formula1>
    </dataValidation>
    <dataValidation type="list" allowBlank="1" showInputMessage="1" showErrorMessage="1" sqref="D6:F6">
      <formula1>$J$22:$J$26</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Feuil8"/>
  <dimension ref="B1:O100"/>
  <sheetViews>
    <sheetView showGridLines="0" showRowColHeaders="0" showRuler="0" zoomScale="90" zoomScaleNormal="90" workbookViewId="0">
      <selection activeCell="C7" sqref="C7"/>
    </sheetView>
  </sheetViews>
  <sheetFormatPr baseColWidth="10" defaultColWidth="11.42578125" defaultRowHeight="15"/>
  <cols>
    <col min="1" max="1" width="15.7109375" customWidth="1"/>
    <col min="2" max="2" width="39.85546875" bestFit="1" customWidth="1"/>
    <col min="3" max="5" width="29.42578125" customWidth="1"/>
    <col min="6" max="6" width="22.28515625" customWidth="1"/>
    <col min="7" max="7" width="13.140625" hidden="1" customWidth="1"/>
    <col min="8" max="8" width="23.42578125" hidden="1" customWidth="1"/>
    <col min="9" max="9" width="25.28515625" hidden="1" customWidth="1"/>
    <col min="10" max="10" width="21.85546875" hidden="1" customWidth="1"/>
    <col min="11" max="11" width="11.42578125" hidden="1" customWidth="1"/>
    <col min="12" max="12" width="14.140625" hidden="1" customWidth="1"/>
    <col min="13" max="13" width="14" hidden="1" customWidth="1"/>
    <col min="14" max="14" width="13.85546875" hidden="1" customWidth="1"/>
    <col min="15" max="15" width="11.42578125" hidden="1" customWidth="1"/>
  </cols>
  <sheetData>
    <row r="1" spans="2:15" ht="73.5" customHeight="1">
      <c r="B1" s="10"/>
    </row>
    <row r="2" spans="2:15">
      <c r="N2" s="2">
        <v>1</v>
      </c>
      <c r="O2" s="2" t="s">
        <v>12</v>
      </c>
    </row>
    <row r="3" spans="2:15">
      <c r="N3" s="2"/>
      <c r="O3" s="2"/>
    </row>
    <row r="4" spans="2:15" ht="42.75" customHeight="1">
      <c r="B4" s="295" t="s">
        <v>121</v>
      </c>
      <c r="C4" s="295"/>
      <c r="D4" s="295"/>
      <c r="E4" s="295"/>
      <c r="F4" s="295"/>
      <c r="N4" s="2">
        <v>2</v>
      </c>
      <c r="O4" s="2" t="s">
        <v>12</v>
      </c>
    </row>
    <row r="5" spans="2:15" ht="23.25" customHeight="1">
      <c r="B5" s="3"/>
      <c r="C5" s="3"/>
      <c r="D5" s="3"/>
      <c r="E5" s="3"/>
      <c r="F5" s="3"/>
      <c r="H5" s="294"/>
      <c r="I5" s="294"/>
      <c r="N5" s="2">
        <v>3</v>
      </c>
      <c r="O5" s="2" t="s">
        <v>12</v>
      </c>
    </row>
    <row r="6" spans="2:15" ht="20.25" customHeight="1">
      <c r="B6" s="132"/>
      <c r="C6" s="133" t="s">
        <v>19</v>
      </c>
      <c r="D6" s="133" t="s">
        <v>20</v>
      </c>
      <c r="E6" s="133" t="s">
        <v>21</v>
      </c>
      <c r="F6" s="3"/>
      <c r="H6" s="4"/>
      <c r="I6" s="4"/>
      <c r="N6" s="2"/>
      <c r="O6" s="2"/>
    </row>
    <row r="7" spans="2:15">
      <c r="B7" s="134" t="s">
        <v>57</v>
      </c>
      <c r="C7" s="125" t="s">
        <v>22</v>
      </c>
      <c r="D7" s="125" t="s">
        <v>22</v>
      </c>
      <c r="E7" s="125" t="s">
        <v>22</v>
      </c>
      <c r="F7" s="3"/>
      <c r="N7" s="2">
        <v>5</v>
      </c>
      <c r="O7" s="2" t="s">
        <v>12</v>
      </c>
    </row>
    <row r="8" spans="2:15">
      <c r="B8" s="134" t="s">
        <v>238</v>
      </c>
      <c r="C8" s="125"/>
      <c r="D8" s="125"/>
      <c r="E8" s="125"/>
      <c r="F8" s="3"/>
      <c r="N8" s="2">
        <v>8</v>
      </c>
      <c r="O8" s="2" t="s">
        <v>12</v>
      </c>
    </row>
    <row r="9" spans="2:15" ht="16.5" customHeight="1">
      <c r="B9" s="132"/>
      <c r="C9" s="138"/>
      <c r="D9" s="138"/>
      <c r="E9" s="138"/>
      <c r="F9" s="128" t="s">
        <v>18</v>
      </c>
      <c r="K9" s="1"/>
      <c r="N9" s="2">
        <v>10</v>
      </c>
      <c r="O9" s="2" t="s">
        <v>12</v>
      </c>
    </row>
    <row r="10" spans="2:15" ht="16.5" customHeight="1">
      <c r="B10" s="134" t="s">
        <v>7</v>
      </c>
      <c r="C10" s="220" t="str">
        <f>IF(I52="","",IF('Etat des lieux'!$E$9='Etat des lieux'!$H$8,I52,IF('Etat des lieux'!$E$9='Etat des lieux'!$H$9,I53,IF('Etat des lieux'!$E$9='Etat des lieux'!$H$10,I54,IF('Etat des lieux'!$E$9='Etat des lieux'!$H$11,I55,IF('Etat des lieux'!$E$9='Etat des lieux'!$H$12,I56,""))))))</f>
        <v/>
      </c>
      <c r="D10" s="220" t="str">
        <f>IF(J52="","",IF('Etat des lieux'!$E$9='Etat des lieux'!$H$8,J52,IF('Etat des lieux'!$E$9='Etat des lieux'!$H$9,J53,IF('Etat des lieux'!$E$9='Etat des lieux'!$H$10,J54,IF('Etat des lieux'!$E$9='Etat des lieux'!$H$11,J55,IF('Etat des lieux'!$E$9='Etat des lieux'!$H$12,J56,""))))))</f>
        <v/>
      </c>
      <c r="E10" s="220" t="str">
        <f>IF(K52="","",IF('Etat des lieux'!$E$9='Etat des lieux'!$H$8,K52,IF('Etat des lieux'!$E$9='Etat des lieux'!$H$9,K53,IF('Etat des lieux'!$E$9='Etat des lieux'!$H$10,K54,IF('Etat des lieux'!$E$9='Etat des lieux'!$H$11,K55,IF('Etat des lieux'!$E$9='Etat des lieux'!$H$12,K56,""))))))</f>
        <v/>
      </c>
      <c r="F10" s="135">
        <f>SUM(C10:E10)</f>
        <v>0</v>
      </c>
      <c r="N10" s="2"/>
      <c r="O10" s="2"/>
    </row>
    <row r="11" spans="2:15" ht="16.5" customHeight="1">
      <c r="B11" s="134" t="s">
        <v>340</v>
      </c>
      <c r="C11" s="136" t="str">
        <f>IF(C10="","",C10*'Etat des lieux'!$H$4/1000)</f>
        <v/>
      </c>
      <c r="D11" s="136" t="str">
        <f>IF(D10="","",D10*'Etat des lieux'!$H$4/1000)</f>
        <v/>
      </c>
      <c r="E11" s="136" t="str">
        <f>IF(E10="","",E10*'Etat des lieux'!$H$4/1000)</f>
        <v/>
      </c>
      <c r="F11" s="137">
        <f>SUM(C11:E11)</f>
        <v>0</v>
      </c>
      <c r="N11" s="2"/>
      <c r="O11" s="2"/>
    </row>
    <row r="12" spans="2:15" ht="15" customHeight="1">
      <c r="N12" s="2">
        <v>14</v>
      </c>
      <c r="O12" s="2" t="s">
        <v>12</v>
      </c>
    </row>
    <row r="13" spans="2:15">
      <c r="N13" s="2">
        <v>15</v>
      </c>
      <c r="O13" s="2" t="s">
        <v>12</v>
      </c>
    </row>
    <row r="14" spans="2:15">
      <c r="B14" s="303" t="s">
        <v>235</v>
      </c>
      <c r="C14" s="304"/>
      <c r="D14" s="304"/>
      <c r="E14" s="304"/>
      <c r="N14" s="2">
        <v>19</v>
      </c>
      <c r="O14" s="2" t="s">
        <v>12</v>
      </c>
    </row>
    <row r="15" spans="2:15">
      <c r="B15" s="306" t="s">
        <v>342</v>
      </c>
      <c r="C15" s="306"/>
      <c r="D15" s="306"/>
      <c r="E15" s="306"/>
      <c r="N15" s="2">
        <v>21</v>
      </c>
      <c r="O15" s="2" t="s">
        <v>12</v>
      </c>
    </row>
    <row r="16" spans="2:15" ht="18" customHeight="1">
      <c r="B16" s="305" t="s">
        <v>343</v>
      </c>
      <c r="C16" s="305"/>
      <c r="D16" s="305"/>
      <c r="E16" s="305"/>
      <c r="N16" s="2">
        <v>23</v>
      </c>
      <c r="O16" s="2" t="s">
        <v>12</v>
      </c>
    </row>
    <row r="17" spans="3:15">
      <c r="N17" s="2">
        <v>25</v>
      </c>
      <c r="O17" s="2" t="s">
        <v>12</v>
      </c>
    </row>
    <row r="18" spans="3:15" ht="15.75">
      <c r="C18" s="307"/>
      <c r="D18" s="307"/>
      <c r="E18" s="307"/>
      <c r="N18" s="2">
        <v>27</v>
      </c>
      <c r="O18" s="2" t="s">
        <v>12</v>
      </c>
    </row>
    <row r="19" spans="3:15">
      <c r="N19" s="2">
        <v>28</v>
      </c>
      <c r="O19" s="2" t="s">
        <v>12</v>
      </c>
    </row>
    <row r="20" spans="3:15">
      <c r="N20" s="2">
        <v>38</v>
      </c>
      <c r="O20" s="2" t="s">
        <v>12</v>
      </c>
    </row>
    <row r="21" spans="3:15">
      <c r="N21" s="2">
        <v>39</v>
      </c>
      <c r="O21" s="2" t="s">
        <v>12</v>
      </c>
    </row>
    <row r="22" spans="3:15">
      <c r="I22" s="1" t="s">
        <v>22</v>
      </c>
      <c r="N22" s="2">
        <v>42</v>
      </c>
      <c r="O22" s="2" t="s">
        <v>12</v>
      </c>
    </row>
    <row r="23" spans="3:15">
      <c r="I23" s="1" t="s">
        <v>8</v>
      </c>
      <c r="J23" s="1">
        <v>2300</v>
      </c>
      <c r="N23" s="2">
        <v>43</v>
      </c>
      <c r="O23" s="2" t="s">
        <v>12</v>
      </c>
    </row>
    <row r="24" spans="3:15">
      <c r="I24" s="1" t="s">
        <v>9</v>
      </c>
      <c r="J24" s="1">
        <v>5000</v>
      </c>
      <c r="N24" s="2">
        <v>45</v>
      </c>
      <c r="O24" s="2" t="s">
        <v>12</v>
      </c>
    </row>
    <row r="25" spans="3:15">
      <c r="I25" s="1" t="s">
        <v>10</v>
      </c>
      <c r="J25" s="1">
        <v>6800</v>
      </c>
      <c r="N25" s="2">
        <v>51</v>
      </c>
      <c r="O25" s="2" t="s">
        <v>12</v>
      </c>
    </row>
    <row r="26" spans="3:15">
      <c r="I26" s="1" t="s">
        <v>11</v>
      </c>
      <c r="J26" s="1">
        <v>9500</v>
      </c>
      <c r="N26" s="2">
        <v>52</v>
      </c>
      <c r="O26" s="2" t="s">
        <v>12</v>
      </c>
    </row>
    <row r="27" spans="3:15">
      <c r="N27" s="2">
        <v>54</v>
      </c>
      <c r="O27" s="2" t="s">
        <v>12</v>
      </c>
    </row>
    <row r="28" spans="3:15">
      <c r="N28" s="2">
        <v>55</v>
      </c>
      <c r="O28" s="2" t="s">
        <v>12</v>
      </c>
    </row>
    <row r="29" spans="3:15">
      <c r="N29" s="2">
        <v>57</v>
      </c>
      <c r="O29" s="2" t="s">
        <v>12</v>
      </c>
    </row>
    <row r="30" spans="3:15">
      <c r="N30" s="2">
        <v>58</v>
      </c>
      <c r="O30" s="2" t="s">
        <v>12</v>
      </c>
    </row>
    <row r="31" spans="3:15">
      <c r="N31" s="2">
        <v>59</v>
      </c>
      <c r="O31" s="2" t="s">
        <v>12</v>
      </c>
    </row>
    <row r="32" spans="3:15">
      <c r="N32" s="2">
        <v>60</v>
      </c>
      <c r="O32" s="2" t="s">
        <v>12</v>
      </c>
    </row>
    <row r="33" spans="8:15">
      <c r="H33" s="302"/>
      <c r="I33" s="302"/>
      <c r="J33" s="302"/>
      <c r="N33" s="2">
        <v>61</v>
      </c>
      <c r="O33" s="2" t="s">
        <v>12</v>
      </c>
    </row>
    <row r="34" spans="8:15">
      <c r="H34" s="14" t="e">
        <f>IF(#REF!=$H$23,VLOOKUP($C$7,$I$23:$L$26,IF($K$9="H1",2,IF($K$9="H2",3,4)),FALSE),VLOOKUP($C$7,$I$28:$L$31,IF($K$9="H1",2,IF($K$9="H2",3,4)),FALSE))</f>
        <v>#REF!</v>
      </c>
      <c r="I34" s="14" t="e">
        <f>($H$34*$C$8*#REF!)</f>
        <v>#REF!</v>
      </c>
      <c r="J34" s="14" t="s">
        <v>130</v>
      </c>
      <c r="N34" s="2">
        <v>62</v>
      </c>
      <c r="O34" s="2" t="s">
        <v>12</v>
      </c>
    </row>
    <row r="35" spans="8:15">
      <c r="H35" s="14" t="e">
        <f>IF(#REF!=$H$23,VLOOKUP($D$7,$I$23:$L$26,IF($K$9="H1",2,IF($K$9="H2",3,4)),FALSE),VLOOKUP($D$7,$I$28:$L$31,IF($K$9="H1",2,IF($K$9="H2",3,4)),FALSE))</f>
        <v>#REF!</v>
      </c>
      <c r="I35" s="14" t="e">
        <f>($H$35*$D$8*#REF!)</f>
        <v>#REF!</v>
      </c>
      <c r="J35" s="14" t="s">
        <v>130</v>
      </c>
      <c r="N35" s="2">
        <v>63</v>
      </c>
      <c r="O35" s="2" t="s">
        <v>12</v>
      </c>
    </row>
    <row r="36" spans="8:15">
      <c r="H36" s="14" t="e">
        <f>IF(#REF!=$H$23,VLOOKUP($E$7,$I$23:$L$26,IF($K$9="H1",2,IF($K$9="H2",3,4)),FALSE),VLOOKUP($E$7,$I$28:$L$31,IF($K$9="H1",2,IF($K$9="H2",3,4)),FALSE))</f>
        <v>#REF!</v>
      </c>
      <c r="I36" s="14" t="e">
        <f>($H$36*$E$8*#REF!)</f>
        <v>#REF!</v>
      </c>
      <c r="J36" s="14" t="s">
        <v>130</v>
      </c>
      <c r="N36" s="2">
        <v>67</v>
      </c>
      <c r="O36" s="2" t="s">
        <v>12</v>
      </c>
    </row>
    <row r="37" spans="8:15">
      <c r="N37" s="2">
        <v>68</v>
      </c>
      <c r="O37" s="2" t="s">
        <v>12</v>
      </c>
    </row>
    <row r="38" spans="8:15">
      <c r="H38" t="s">
        <v>22</v>
      </c>
      <c r="N38" s="2">
        <v>69</v>
      </c>
      <c r="O38" s="2" t="s">
        <v>12</v>
      </c>
    </row>
    <row r="39" spans="8:15">
      <c r="H39" t="s">
        <v>51</v>
      </c>
      <c r="N39" s="2">
        <v>70</v>
      </c>
      <c r="O39" s="2" t="s">
        <v>12</v>
      </c>
    </row>
    <row r="40" spans="8:15">
      <c r="H40" t="s">
        <v>52</v>
      </c>
      <c r="N40" s="2">
        <v>71</v>
      </c>
      <c r="O40" s="2" t="s">
        <v>12</v>
      </c>
    </row>
    <row r="41" spans="8:15">
      <c r="H41" t="s">
        <v>54</v>
      </c>
      <c r="N41" s="2">
        <v>73</v>
      </c>
      <c r="O41" s="2" t="s">
        <v>12</v>
      </c>
    </row>
    <row r="42" spans="8:15">
      <c r="N42" s="2">
        <v>74</v>
      </c>
      <c r="O42" s="2" t="s">
        <v>12</v>
      </c>
    </row>
    <row r="43" spans="8:15">
      <c r="N43" s="2">
        <v>75</v>
      </c>
      <c r="O43" s="2" t="s">
        <v>12</v>
      </c>
    </row>
    <row r="44" spans="8:15">
      <c r="N44" s="2">
        <v>76</v>
      </c>
      <c r="O44" s="2" t="s">
        <v>12</v>
      </c>
    </row>
    <row r="45" spans="8:15">
      <c r="J45" s="23" t="s">
        <v>322</v>
      </c>
      <c r="K45" s="23">
        <v>15</v>
      </c>
      <c r="N45" s="2">
        <v>77</v>
      </c>
      <c r="O45" s="2" t="s">
        <v>12</v>
      </c>
    </row>
    <row r="46" spans="8:15">
      <c r="J46" s="23" t="s">
        <v>323</v>
      </c>
      <c r="K46" s="23">
        <v>11.5631</v>
      </c>
      <c r="N46" s="2">
        <v>78</v>
      </c>
      <c r="O46" s="2" t="s">
        <v>12</v>
      </c>
    </row>
    <row r="47" spans="8:15">
      <c r="N47" s="2">
        <v>80</v>
      </c>
      <c r="O47" s="2" t="s">
        <v>12</v>
      </c>
    </row>
    <row r="48" spans="8:15">
      <c r="N48" s="2">
        <v>87</v>
      </c>
      <c r="O48" s="2" t="s">
        <v>12</v>
      </c>
    </row>
    <row r="49" spans="8:15">
      <c r="N49" s="2">
        <v>88</v>
      </c>
      <c r="O49" s="2" t="s">
        <v>12</v>
      </c>
    </row>
    <row r="50" spans="8:15">
      <c r="N50" s="2">
        <v>89</v>
      </c>
      <c r="O50" s="2" t="s">
        <v>12</v>
      </c>
    </row>
    <row r="51" spans="8:15">
      <c r="H51" s="17"/>
      <c r="I51" s="17" t="s">
        <v>326</v>
      </c>
      <c r="J51" s="17" t="s">
        <v>327</v>
      </c>
      <c r="K51" s="17" t="s">
        <v>328</v>
      </c>
      <c r="N51" s="2">
        <v>90</v>
      </c>
      <c r="O51" s="2" t="s">
        <v>12</v>
      </c>
    </row>
    <row r="52" spans="8:15">
      <c r="H52" s="17" t="s">
        <v>316</v>
      </c>
      <c r="I52" s="219" t="str">
        <f>IF(C$7=$H$38,"",VLOOKUP(C$7,$I$22:$J$26,2,FALSE)*C$8)</f>
        <v/>
      </c>
      <c r="J52" s="219" t="str">
        <f t="shared" ref="J52:K52" si="0">IF(D$7=$H$38,"",VLOOKUP(D$7,$I$22:$J$26,2,FALSE)*D$8)</f>
        <v/>
      </c>
      <c r="K52" s="219" t="str">
        <f t="shared" si="0"/>
        <v/>
      </c>
      <c r="N52" s="2">
        <v>91</v>
      </c>
      <c r="O52" s="2" t="s">
        <v>12</v>
      </c>
    </row>
    <row r="53" spans="8:15">
      <c r="H53" s="17" t="s">
        <v>329</v>
      </c>
      <c r="I53" s="23" t="e">
        <f>I$52*$K60/$K$46</f>
        <v>#VALUE!</v>
      </c>
      <c r="J53" s="23" t="e">
        <f t="shared" ref="J53:K53" si="1">J$52*$K60/$K$46</f>
        <v>#VALUE!</v>
      </c>
      <c r="K53" s="23" t="e">
        <f t="shared" si="1"/>
        <v>#VALUE!</v>
      </c>
      <c r="N53" s="2">
        <v>92</v>
      </c>
      <c r="O53" s="2" t="s">
        <v>12</v>
      </c>
    </row>
    <row r="54" spans="8:15">
      <c r="H54" s="17" t="s">
        <v>330</v>
      </c>
      <c r="I54" s="23" t="e">
        <f t="shared" ref="I54:K56" si="2">I$52*$K61/$K$46</f>
        <v>#VALUE!</v>
      </c>
      <c r="J54" s="23" t="e">
        <f t="shared" si="2"/>
        <v>#VALUE!</v>
      </c>
      <c r="K54" s="23" t="e">
        <f t="shared" si="2"/>
        <v>#VALUE!</v>
      </c>
      <c r="N54" s="2">
        <v>93</v>
      </c>
      <c r="O54" s="2" t="s">
        <v>12</v>
      </c>
    </row>
    <row r="55" spans="8:15">
      <c r="H55" s="17" t="s">
        <v>331</v>
      </c>
      <c r="I55" s="23" t="e">
        <f t="shared" si="2"/>
        <v>#VALUE!</v>
      </c>
      <c r="J55" s="23" t="e">
        <f t="shared" si="2"/>
        <v>#VALUE!</v>
      </c>
      <c r="K55" s="23" t="e">
        <f t="shared" si="2"/>
        <v>#VALUE!</v>
      </c>
      <c r="N55" s="2">
        <v>94</v>
      </c>
      <c r="O55" s="2" t="s">
        <v>12</v>
      </c>
    </row>
    <row r="56" spans="8:15">
      <c r="H56" s="17" t="s">
        <v>332</v>
      </c>
      <c r="I56" s="23" t="e">
        <f t="shared" si="2"/>
        <v>#VALUE!</v>
      </c>
      <c r="J56" s="23" t="e">
        <f t="shared" si="2"/>
        <v>#VALUE!</v>
      </c>
      <c r="K56" s="23" t="e">
        <f t="shared" si="2"/>
        <v>#VALUE!</v>
      </c>
      <c r="N56" s="2">
        <v>95</v>
      </c>
      <c r="O56" s="2" t="s">
        <v>12</v>
      </c>
    </row>
    <row r="57" spans="8:15">
      <c r="N57" s="2">
        <v>4</v>
      </c>
      <c r="O57" s="2" t="s">
        <v>13</v>
      </c>
    </row>
    <row r="58" spans="8:15">
      <c r="N58" s="2">
        <v>7</v>
      </c>
      <c r="O58" s="2" t="s">
        <v>13</v>
      </c>
    </row>
    <row r="59" spans="8:15">
      <c r="N59" s="2">
        <v>9</v>
      </c>
      <c r="O59" s="2" t="s">
        <v>13</v>
      </c>
    </row>
    <row r="60" spans="8:15">
      <c r="J60" s="29" t="s">
        <v>317</v>
      </c>
      <c r="K60" s="29">
        <v>2.8860999999999999</v>
      </c>
      <c r="N60" s="2">
        <v>12</v>
      </c>
      <c r="O60" s="2" t="s">
        <v>13</v>
      </c>
    </row>
    <row r="61" spans="8:15">
      <c r="J61" s="29" t="s">
        <v>318</v>
      </c>
      <c r="K61" s="29">
        <v>4.6299000000000001</v>
      </c>
      <c r="N61" s="2">
        <v>16</v>
      </c>
      <c r="O61" s="2" t="s">
        <v>13</v>
      </c>
    </row>
    <row r="62" spans="8:15">
      <c r="J62" s="29" t="s">
        <v>319</v>
      </c>
      <c r="K62" s="29">
        <v>6.2420999999999998</v>
      </c>
      <c r="N62" s="2">
        <v>17</v>
      </c>
      <c r="O62" s="2" t="s">
        <v>13</v>
      </c>
    </row>
    <row r="63" spans="8:15">
      <c r="J63" s="29" t="s">
        <v>320</v>
      </c>
      <c r="K63" s="29">
        <v>8.4352999999999998</v>
      </c>
      <c r="N63" s="2">
        <v>18</v>
      </c>
      <c r="O63" s="2" t="s">
        <v>13</v>
      </c>
    </row>
    <row r="64" spans="8:15">
      <c r="N64" s="2">
        <v>22</v>
      </c>
      <c r="O64" s="2" t="s">
        <v>13</v>
      </c>
    </row>
    <row r="65" spans="14:15">
      <c r="N65" s="2">
        <v>24</v>
      </c>
      <c r="O65" s="2" t="s">
        <v>13</v>
      </c>
    </row>
    <row r="66" spans="14:15">
      <c r="N66" s="2">
        <v>26</v>
      </c>
      <c r="O66" s="2" t="s">
        <v>13</v>
      </c>
    </row>
    <row r="67" spans="14:15">
      <c r="N67" s="2">
        <v>29</v>
      </c>
      <c r="O67" s="2" t="s">
        <v>13</v>
      </c>
    </row>
    <row r="68" spans="14:15">
      <c r="N68" s="2">
        <v>31</v>
      </c>
      <c r="O68" s="2" t="s">
        <v>13</v>
      </c>
    </row>
    <row r="69" spans="14:15">
      <c r="N69" s="2">
        <v>32</v>
      </c>
      <c r="O69" s="2" t="s">
        <v>13</v>
      </c>
    </row>
    <row r="70" spans="14:15">
      <c r="N70" s="2">
        <v>33</v>
      </c>
      <c r="O70" s="2" t="s">
        <v>13</v>
      </c>
    </row>
    <row r="71" spans="14:15">
      <c r="N71" s="2">
        <v>35</v>
      </c>
      <c r="O71" s="2" t="s">
        <v>13</v>
      </c>
    </row>
    <row r="72" spans="14:15">
      <c r="N72" s="2">
        <v>36</v>
      </c>
      <c r="O72" s="2" t="s">
        <v>13</v>
      </c>
    </row>
    <row r="73" spans="14:15">
      <c r="N73" s="2">
        <v>37</v>
      </c>
      <c r="O73" s="2" t="s">
        <v>13</v>
      </c>
    </row>
    <row r="74" spans="14:15">
      <c r="N74" s="2">
        <v>40</v>
      </c>
      <c r="O74" s="2" t="s">
        <v>13</v>
      </c>
    </row>
    <row r="75" spans="14:15">
      <c r="N75" s="2">
        <v>41</v>
      </c>
      <c r="O75" s="2" t="s">
        <v>13</v>
      </c>
    </row>
    <row r="76" spans="14:15">
      <c r="N76" s="2">
        <v>44</v>
      </c>
      <c r="O76" s="2" t="s">
        <v>13</v>
      </c>
    </row>
    <row r="77" spans="14:15">
      <c r="N77" s="2">
        <v>46</v>
      </c>
      <c r="O77" s="2" t="s">
        <v>13</v>
      </c>
    </row>
    <row r="78" spans="14:15">
      <c r="N78" s="2">
        <v>47</v>
      </c>
      <c r="O78" s="2" t="s">
        <v>13</v>
      </c>
    </row>
    <row r="79" spans="14:15">
      <c r="N79" s="2">
        <v>48</v>
      </c>
      <c r="O79" s="2" t="s">
        <v>13</v>
      </c>
    </row>
    <row r="80" spans="14:15">
      <c r="N80" s="2">
        <v>49</v>
      </c>
      <c r="O80" s="2" t="s">
        <v>13</v>
      </c>
    </row>
    <row r="81" spans="14:15">
      <c r="N81" s="2">
        <v>50</v>
      </c>
      <c r="O81" s="2" t="s">
        <v>13</v>
      </c>
    </row>
    <row r="82" spans="14:15">
      <c r="N82" s="2">
        <v>53</v>
      </c>
      <c r="O82" s="2" t="s">
        <v>13</v>
      </c>
    </row>
    <row r="83" spans="14:15">
      <c r="N83" s="2">
        <v>56</v>
      </c>
      <c r="O83" s="2" t="s">
        <v>13</v>
      </c>
    </row>
    <row r="84" spans="14:15">
      <c r="N84" s="2">
        <v>64</v>
      </c>
      <c r="O84" s="2" t="s">
        <v>13</v>
      </c>
    </row>
    <row r="85" spans="14:15">
      <c r="N85" s="2">
        <v>65</v>
      </c>
      <c r="O85" s="2" t="s">
        <v>13</v>
      </c>
    </row>
    <row r="86" spans="14:15">
      <c r="N86" s="2">
        <v>72</v>
      </c>
      <c r="O86" s="2" t="s">
        <v>13</v>
      </c>
    </row>
    <row r="87" spans="14:15">
      <c r="N87" s="2">
        <v>79</v>
      </c>
      <c r="O87" s="2" t="s">
        <v>13</v>
      </c>
    </row>
    <row r="88" spans="14:15">
      <c r="N88" s="2">
        <v>81</v>
      </c>
      <c r="O88" s="2" t="s">
        <v>13</v>
      </c>
    </row>
    <row r="89" spans="14:15">
      <c r="N89" s="2">
        <v>82</v>
      </c>
      <c r="O89" s="2" t="s">
        <v>13</v>
      </c>
    </row>
    <row r="90" spans="14:15">
      <c r="N90" s="2">
        <v>84</v>
      </c>
      <c r="O90" s="2" t="s">
        <v>13</v>
      </c>
    </row>
    <row r="91" spans="14:15">
      <c r="N91" s="2">
        <v>85</v>
      </c>
      <c r="O91" s="2" t="s">
        <v>13</v>
      </c>
    </row>
    <row r="92" spans="14:15">
      <c r="N92" s="2">
        <v>86</v>
      </c>
      <c r="O92" s="2" t="s">
        <v>13</v>
      </c>
    </row>
    <row r="93" spans="14:15">
      <c r="N93" s="2">
        <v>6</v>
      </c>
      <c r="O93" s="2" t="s">
        <v>14</v>
      </c>
    </row>
    <row r="94" spans="14:15">
      <c r="N94" s="2">
        <v>11</v>
      </c>
      <c r="O94" s="2" t="s">
        <v>14</v>
      </c>
    </row>
    <row r="95" spans="14:15">
      <c r="N95" s="2">
        <v>20</v>
      </c>
      <c r="O95" s="2" t="s">
        <v>14</v>
      </c>
    </row>
    <row r="96" spans="14:15">
      <c r="N96" s="2">
        <v>30</v>
      </c>
      <c r="O96" s="2" t="s">
        <v>14</v>
      </c>
    </row>
    <row r="97" spans="14:15">
      <c r="N97" s="2">
        <v>34</v>
      </c>
      <c r="O97" s="2" t="s">
        <v>14</v>
      </c>
    </row>
    <row r="98" spans="14:15">
      <c r="N98" s="2">
        <v>66</v>
      </c>
      <c r="O98" s="2" t="s">
        <v>14</v>
      </c>
    </row>
    <row r="99" spans="14:15">
      <c r="N99" s="2">
        <v>83</v>
      </c>
      <c r="O99" s="2" t="s">
        <v>14</v>
      </c>
    </row>
    <row r="100" spans="14:15">
      <c r="N100" s="2">
        <v>13</v>
      </c>
      <c r="O100" s="2" t="s">
        <v>14</v>
      </c>
    </row>
  </sheetData>
  <sheetProtection algorithmName="SHA-512" hashValue="Dh145MchbR9O8hH9ZRZzAhpWRigbGZ1LxT6KfEwJsBtpfscRrU3vl7xaBiMMkgE33pA8l3APYBE1wNUFo/5IKA==" saltValue="SY3z5ExG8S9NAfx/WD2U8A==" spinCount="100000" sheet="1" selectLockedCells="1"/>
  <dataConsolidate link="1"/>
  <mergeCells count="7">
    <mergeCell ref="B4:F4"/>
    <mergeCell ref="H5:I5"/>
    <mergeCell ref="H33:J33"/>
    <mergeCell ref="B14:E14"/>
    <mergeCell ref="B16:E16"/>
    <mergeCell ref="B15:E15"/>
    <mergeCell ref="C18:E18"/>
  </mergeCells>
  <dataValidations count="1">
    <dataValidation type="list" allowBlank="1" showInputMessage="1" showErrorMessage="1" sqref="C7:E7">
      <formula1>$I$22:$I$26</formula1>
    </dataValidation>
  </dataValidations>
  <pageMargins left="0.7" right="0.7" top="0.75" bottom="0.75" header="0.3" footer="0.3"/>
  <pageSetup paperSize="9" orientation="portrait" verticalDpi="300" r:id="rId1"/>
  <drawing r:id="rId2"/>
</worksheet>
</file>

<file path=xl/worksheets/sheet7.xml><?xml version="1.0" encoding="utf-8"?>
<worksheet xmlns="http://schemas.openxmlformats.org/spreadsheetml/2006/main" xmlns:r="http://schemas.openxmlformats.org/officeDocument/2006/relationships">
  <dimension ref="B1:Q48"/>
  <sheetViews>
    <sheetView showGridLines="0" showRowColHeaders="0" showRuler="0" zoomScale="90" zoomScaleNormal="90" workbookViewId="0">
      <selection activeCell="C7" sqref="C7"/>
    </sheetView>
  </sheetViews>
  <sheetFormatPr baseColWidth="10" defaultColWidth="11.42578125" defaultRowHeight="15"/>
  <cols>
    <col min="1" max="1" width="15.7109375" customWidth="1"/>
    <col min="2" max="2" width="33.7109375" bestFit="1" customWidth="1"/>
    <col min="3" max="5" width="29.42578125" customWidth="1"/>
    <col min="6" max="6" width="22.28515625" customWidth="1"/>
    <col min="7" max="7" width="11.28515625" customWidth="1"/>
    <col min="8" max="8" width="23.42578125" customWidth="1"/>
    <col min="9" max="9" width="33.7109375" hidden="1" customWidth="1"/>
    <col min="10" max="10" width="12.85546875" hidden="1" customWidth="1"/>
    <col min="11" max="11" width="21" hidden="1" customWidth="1"/>
    <col min="12" max="12" width="21.85546875" hidden="1" customWidth="1"/>
    <col min="13" max="13" width="14" hidden="1" customWidth="1"/>
    <col min="14" max="14" width="13.85546875" hidden="1" customWidth="1"/>
    <col min="15" max="15" width="11.42578125" hidden="1" customWidth="1"/>
    <col min="16" max="16" width="0" hidden="1" customWidth="1"/>
  </cols>
  <sheetData>
    <row r="1" spans="2:9" ht="73.5" customHeight="1">
      <c r="B1" s="10"/>
    </row>
    <row r="4" spans="2:9" ht="42.75" customHeight="1">
      <c r="B4" s="295" t="s">
        <v>352</v>
      </c>
      <c r="C4" s="295"/>
      <c r="D4" s="295"/>
      <c r="E4" s="295"/>
      <c r="F4" s="295"/>
    </row>
    <row r="5" spans="2:9" ht="23.25" customHeight="1">
      <c r="B5" s="3"/>
      <c r="C5" s="3"/>
      <c r="D5" s="3"/>
      <c r="E5" s="3"/>
      <c r="F5" s="3"/>
    </row>
    <row r="6" spans="2:9" ht="20.25" customHeight="1">
      <c r="B6" s="221"/>
      <c r="C6" s="133" t="s">
        <v>19</v>
      </c>
      <c r="D6" s="133" t="s">
        <v>20</v>
      </c>
      <c r="E6" s="133" t="s">
        <v>21</v>
      </c>
      <c r="F6" s="3"/>
    </row>
    <row r="7" spans="2:9">
      <c r="B7" s="134" t="s">
        <v>122</v>
      </c>
      <c r="C7" s="125"/>
      <c r="D7" s="125"/>
      <c r="E7" s="125"/>
      <c r="F7" s="3"/>
    </row>
    <row r="8" spans="2:9">
      <c r="B8" s="134" t="s">
        <v>123</v>
      </c>
      <c r="C8" s="125"/>
      <c r="D8" s="125"/>
      <c r="E8" s="125"/>
      <c r="F8" s="3"/>
    </row>
    <row r="9" spans="2:9">
      <c r="B9" s="296"/>
      <c r="C9" s="297"/>
      <c r="D9" s="297"/>
      <c r="E9" s="297"/>
      <c r="F9" s="128" t="s">
        <v>18</v>
      </c>
    </row>
    <row r="10" spans="2:9" ht="15" customHeight="1">
      <c r="B10" s="134" t="s">
        <v>7</v>
      </c>
      <c r="C10" s="220" t="str">
        <f>IF(K36="","",IF('Etat des lieux'!$E$9='Etat des lieux'!$H$8,K36,IF('Etat des lieux'!$E$9='Etat des lieux'!$H$9,K37,IF('Etat des lieux'!$E$9='Etat des lieux'!$H$10,K38,IF('Etat des lieux'!$E$9='Etat des lieux'!$H$11,K39,IF('Etat des lieux'!$E$9='Etat des lieux'!$H$12,K40,""))))))</f>
        <v/>
      </c>
      <c r="D10" s="220" t="str">
        <f>IF(L36="","",IF('Etat des lieux'!$E$9='Etat des lieux'!$H$8,L36,IF('Etat des lieux'!$E$9='Etat des lieux'!$H$9,L37,IF('Etat des lieux'!$E$9='Etat des lieux'!$H$10,L38,IF('Etat des lieux'!$E$9='Etat des lieux'!$H$11,L39,IF('Etat des lieux'!$E$9='Etat des lieux'!$H$12,L40,""))))))</f>
        <v/>
      </c>
      <c r="E10" s="220" t="str">
        <f>IF(M36="","",IF('Etat des lieux'!$E$9='Etat des lieux'!$H$8,M36,IF('Etat des lieux'!$E$9='Etat des lieux'!$H$9,M37,IF('Etat des lieux'!$E$9='Etat des lieux'!$H$10,M38,IF('Etat des lieux'!$E$9='Etat des lieux'!$H$11,M39,IF('Etat des lieux'!$E$9='Etat des lieux'!$H$12,M40,""))))))</f>
        <v/>
      </c>
      <c r="F10" s="135">
        <f>SUM(C10:E10)</f>
        <v>0</v>
      </c>
    </row>
    <row r="11" spans="2:9">
      <c r="B11" s="134" t="s">
        <v>340</v>
      </c>
      <c r="C11" s="136" t="str">
        <f>IF(C10="","",C10*'Etat des lieux'!$H$4/1000)</f>
        <v/>
      </c>
      <c r="D11" s="136" t="str">
        <f>IF(D10="","",D10*'Etat des lieux'!$H$4/1000)</f>
        <v/>
      </c>
      <c r="E11" s="136" t="str">
        <f>IF(E10="","",E10*'Etat des lieux'!$H$4/1000)</f>
        <v/>
      </c>
      <c r="F11" s="139">
        <f>SUM(C11:E11)</f>
        <v>0</v>
      </c>
    </row>
    <row r="12" spans="2:9">
      <c r="F12" s="54"/>
    </row>
    <row r="14" spans="2:9">
      <c r="C14" s="308" t="s">
        <v>338</v>
      </c>
      <c r="D14" s="309"/>
      <c r="E14" s="309"/>
    </row>
    <row r="15" spans="2:9">
      <c r="C15" s="309"/>
      <c r="D15" s="309"/>
      <c r="E15" s="309"/>
      <c r="I15" t="s">
        <v>22</v>
      </c>
    </row>
    <row r="16" spans="2:9">
      <c r="C16" s="309"/>
      <c r="D16" s="309"/>
      <c r="E16" s="309"/>
      <c r="I16" t="s">
        <v>124</v>
      </c>
    </row>
    <row r="17" spans="9:13" ht="17.25" customHeight="1">
      <c r="I17" t="s">
        <v>125</v>
      </c>
    </row>
    <row r="18" spans="9:13" ht="43.5" customHeight="1"/>
    <row r="19" spans="9:13" ht="22.5" customHeight="1"/>
    <row r="20" spans="9:13" ht="10.5" customHeight="1"/>
    <row r="21" spans="9:13">
      <c r="L21" t="s">
        <v>324</v>
      </c>
    </row>
    <row r="22" spans="9:13">
      <c r="L22" s="23" t="s">
        <v>322</v>
      </c>
      <c r="M22" s="23">
        <v>15</v>
      </c>
    </row>
    <row r="23" spans="9:13">
      <c r="L23" s="23" t="s">
        <v>323</v>
      </c>
      <c r="M23" s="23">
        <v>11.5631</v>
      </c>
    </row>
    <row r="25" spans="9:13">
      <c r="L25" t="s">
        <v>325</v>
      </c>
    </row>
    <row r="26" spans="9:13">
      <c r="L26" s="23" t="s">
        <v>322</v>
      </c>
      <c r="M26" s="23">
        <v>20</v>
      </c>
    </row>
    <row r="27" spans="9:13">
      <c r="L27" s="23" t="s">
        <v>323</v>
      </c>
      <c r="M27" s="23">
        <v>14.133900000000001</v>
      </c>
    </row>
    <row r="35" spans="10:17">
      <c r="J35" s="17"/>
      <c r="K35" s="17" t="s">
        <v>326</v>
      </c>
      <c r="L35" s="17" t="s">
        <v>327</v>
      </c>
      <c r="M35" s="17" t="s">
        <v>328</v>
      </c>
    </row>
    <row r="36" spans="10:17">
      <c r="J36" s="17" t="s">
        <v>316</v>
      </c>
      <c r="K36" s="219" t="str">
        <f>IF(C$7="","",IF(C$7&lt;=0.75,(4900*C$7+2600)*C$8,IF(AND(C$7&gt;0.75,C$7&lt;=375),(700*C$7+12000)*C$8,1600*C$7*C$8)))</f>
        <v/>
      </c>
      <c r="L36" s="219" t="str">
        <f t="shared" ref="L36:M36" si="0">IF(D$7="","",IF(D$7&lt;=0.75,(4900*D$7+2600)*D$8,IF(AND(D$7&gt;0.75,D$7&lt;=375),(700*D$7+12000)*D$8,1600*D$7*D$8)))</f>
        <v/>
      </c>
      <c r="M36" s="219" t="str">
        <f t="shared" si="0"/>
        <v/>
      </c>
    </row>
    <row r="37" spans="10:17">
      <c r="J37" s="17" t="s">
        <v>329</v>
      </c>
      <c r="K37" s="23" t="e">
        <f>IF(C$7&lt;=15,K$36*$M45/$M$23,K$36*$M45/$M$27)</f>
        <v>#VALUE!</v>
      </c>
      <c r="L37" s="23" t="e">
        <f t="shared" ref="L37:M40" si="1">IF(D$7&lt;=15,L$36*$M45/$M$23,L$36*$M45/$M$27)</f>
        <v>#VALUE!</v>
      </c>
      <c r="M37" s="23" t="e">
        <f t="shared" si="1"/>
        <v>#VALUE!</v>
      </c>
      <c r="Q37" t="s">
        <v>339</v>
      </c>
    </row>
    <row r="38" spans="10:17">
      <c r="J38" s="17" t="s">
        <v>330</v>
      </c>
      <c r="K38" s="23" t="e">
        <f t="shared" ref="K38:K40" si="2">IF(C$7&lt;=15,K$36*$M46/$M$23,K$36*$M46/$M$27)</f>
        <v>#VALUE!</v>
      </c>
      <c r="L38" s="23" t="e">
        <f t="shared" si="1"/>
        <v>#VALUE!</v>
      </c>
      <c r="M38" s="23" t="e">
        <f t="shared" si="1"/>
        <v>#VALUE!</v>
      </c>
    </row>
    <row r="39" spans="10:17">
      <c r="J39" s="17" t="s">
        <v>331</v>
      </c>
      <c r="K39" s="23" t="e">
        <f t="shared" si="2"/>
        <v>#VALUE!</v>
      </c>
      <c r="L39" s="23" t="e">
        <f t="shared" si="1"/>
        <v>#VALUE!</v>
      </c>
      <c r="M39" s="23" t="e">
        <f t="shared" si="1"/>
        <v>#VALUE!</v>
      </c>
    </row>
    <row r="40" spans="10:17">
      <c r="J40" s="17" t="s">
        <v>332</v>
      </c>
      <c r="K40" s="23" t="e">
        <f t="shared" si="2"/>
        <v>#VALUE!</v>
      </c>
      <c r="L40" s="23" t="e">
        <f t="shared" si="1"/>
        <v>#VALUE!</v>
      </c>
      <c r="M40" s="23" t="e">
        <f t="shared" si="1"/>
        <v>#VALUE!</v>
      </c>
    </row>
    <row r="45" spans="10:17">
      <c r="L45" s="29" t="s">
        <v>317</v>
      </c>
      <c r="M45" s="29">
        <v>2.8860999999999999</v>
      </c>
    </row>
    <row r="46" spans="10:17">
      <c r="L46" s="29" t="s">
        <v>318</v>
      </c>
      <c r="M46" s="29">
        <v>4.6299000000000001</v>
      </c>
    </row>
    <row r="47" spans="10:17">
      <c r="L47" s="29" t="s">
        <v>319</v>
      </c>
      <c r="M47" s="29">
        <v>6.2420999999999998</v>
      </c>
    </row>
    <row r="48" spans="10:17">
      <c r="L48" s="29" t="s">
        <v>320</v>
      </c>
      <c r="M48" s="29">
        <v>8.4352999999999998</v>
      </c>
    </row>
  </sheetData>
  <sheetProtection algorithmName="SHA-512" hashValue="FUz5taQ91rysH1zmWwwU9JSvZ9ic57wsUz9uP8b/dCwpjqsBBD9331KUe0xTKTkhT4PzJSBo6+axhQgnZMiHXw==" saltValue="hWxc25vyBk0jYXLuQtLgxQ==" spinCount="100000" sheet="1" selectLockedCells="1"/>
  <dataConsolidate/>
  <mergeCells count="3">
    <mergeCell ref="B4:F4"/>
    <mergeCell ref="B9:E9"/>
    <mergeCell ref="C14:E16"/>
  </mergeCells>
  <dataValidations count="1">
    <dataValidation type="decimal" allowBlank="1" showInputMessage="1" showErrorMessage="1" errorTitle="Puissance non éligible" error="La puissance doit être comprise entre 0,12 kW et 1000 kW." sqref="C7:E7">
      <formula1>0.12</formula1>
      <formula2>1000</formula2>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codeName="Feuil7"/>
  <dimension ref="B1:AO98"/>
  <sheetViews>
    <sheetView showGridLines="0" showRowColHeaders="0" showRuler="0" zoomScale="90" zoomScaleNormal="90" workbookViewId="0">
      <selection activeCell="C7" sqref="C7"/>
    </sheetView>
  </sheetViews>
  <sheetFormatPr baseColWidth="10" defaultColWidth="11.42578125" defaultRowHeight="15"/>
  <cols>
    <col min="1" max="1" width="15.7109375" customWidth="1"/>
    <col min="2" max="2" width="45.140625" customWidth="1"/>
    <col min="3" max="5" width="29.42578125" customWidth="1"/>
    <col min="6" max="6" width="22.28515625" customWidth="1"/>
    <col min="7" max="7" width="11.28515625" hidden="1" customWidth="1"/>
    <col min="8" max="8" width="23.42578125" hidden="1" customWidth="1"/>
    <col min="9" max="9" width="29.7109375" hidden="1" customWidth="1"/>
    <col min="10" max="10" width="12.85546875" hidden="1" customWidth="1"/>
    <col min="11" max="11" width="21.85546875" hidden="1" customWidth="1"/>
    <col min="12" max="12" width="14.140625" hidden="1" customWidth="1"/>
    <col min="13" max="13" width="14" hidden="1" customWidth="1"/>
    <col min="14" max="14" width="13.85546875" hidden="1" customWidth="1"/>
    <col min="15" max="15" width="11.42578125" hidden="1" customWidth="1"/>
    <col min="16" max="17" width="11.42578125" customWidth="1"/>
  </cols>
  <sheetData>
    <row r="1" spans="2:41" ht="73.5" customHeight="1">
      <c r="B1" s="10"/>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row>
    <row r="2" spans="2:41">
      <c r="G2" s="25"/>
      <c r="H2" s="25"/>
      <c r="I2" s="25"/>
      <c r="J2" s="25"/>
      <c r="K2" s="25"/>
      <c r="L2" s="25"/>
      <c r="M2" s="25"/>
      <c r="N2" s="27">
        <v>1</v>
      </c>
      <c r="O2" s="27" t="s">
        <v>12</v>
      </c>
      <c r="P2" s="25"/>
      <c r="Q2" s="25"/>
      <c r="R2" s="25"/>
      <c r="S2" s="25"/>
      <c r="T2" s="25"/>
      <c r="U2" s="25"/>
      <c r="V2" s="25"/>
      <c r="W2" s="25"/>
      <c r="X2" s="25"/>
      <c r="Y2" s="25"/>
      <c r="Z2" s="25"/>
      <c r="AA2" s="25"/>
      <c r="AB2" s="25"/>
      <c r="AC2" s="25"/>
      <c r="AD2" s="25"/>
      <c r="AE2" s="25"/>
      <c r="AF2" s="25"/>
      <c r="AG2" s="25"/>
      <c r="AH2" s="25"/>
      <c r="AI2" s="25"/>
      <c r="AJ2" s="25"/>
      <c r="AK2" s="25"/>
      <c r="AL2" s="25"/>
      <c r="AM2" s="25"/>
      <c r="AN2" s="25"/>
      <c r="AO2" s="25"/>
    </row>
    <row r="3" spans="2:41">
      <c r="G3" s="25"/>
      <c r="H3" s="25"/>
      <c r="I3" s="25"/>
      <c r="J3" s="25"/>
      <c r="K3" s="25"/>
      <c r="L3" s="25"/>
      <c r="M3" s="25"/>
      <c r="N3" s="27"/>
      <c r="O3" s="27"/>
      <c r="P3" s="25"/>
      <c r="Q3" s="25"/>
      <c r="R3" s="25"/>
      <c r="S3" s="25"/>
      <c r="T3" s="25"/>
      <c r="U3" s="25"/>
      <c r="V3" s="25"/>
      <c r="W3" s="25"/>
      <c r="X3" s="25"/>
      <c r="Y3" s="25"/>
      <c r="Z3" s="25"/>
      <c r="AA3" s="25"/>
      <c r="AB3" s="25"/>
      <c r="AC3" s="25"/>
      <c r="AD3" s="25"/>
      <c r="AE3" s="25"/>
      <c r="AF3" s="25"/>
      <c r="AG3" s="25"/>
      <c r="AH3" s="25"/>
      <c r="AI3" s="25"/>
      <c r="AJ3" s="25"/>
      <c r="AK3" s="25"/>
      <c r="AL3" s="25"/>
      <c r="AM3" s="25"/>
      <c r="AN3" s="25"/>
      <c r="AO3" s="25"/>
    </row>
    <row r="4" spans="2:41" ht="42.75" customHeight="1">
      <c r="B4" s="295" t="s">
        <v>56</v>
      </c>
      <c r="C4" s="295"/>
      <c r="D4" s="295"/>
      <c r="E4" s="295"/>
      <c r="F4" s="295"/>
      <c r="G4" s="25"/>
      <c r="H4" s="25"/>
      <c r="I4" s="25"/>
      <c r="J4" s="25"/>
      <c r="K4" s="25"/>
      <c r="L4" s="25"/>
      <c r="M4" s="25"/>
      <c r="N4" s="27">
        <v>2</v>
      </c>
      <c r="O4" s="27" t="s">
        <v>12</v>
      </c>
      <c r="P4" s="25"/>
      <c r="Q4" s="25"/>
      <c r="R4" s="25"/>
      <c r="S4" s="25"/>
      <c r="T4" s="25"/>
      <c r="U4" s="25"/>
      <c r="V4" s="25"/>
      <c r="W4" s="25"/>
      <c r="X4" s="25"/>
      <c r="Y4" s="25"/>
      <c r="Z4" s="25"/>
      <c r="AA4" s="25"/>
      <c r="AB4" s="25"/>
      <c r="AC4" s="25"/>
      <c r="AD4" s="25"/>
      <c r="AE4" s="25"/>
      <c r="AF4" s="25"/>
      <c r="AG4" s="25"/>
      <c r="AH4" s="25"/>
      <c r="AI4" s="25"/>
      <c r="AJ4" s="25"/>
      <c r="AK4" s="25"/>
      <c r="AL4" s="25"/>
      <c r="AM4" s="25"/>
      <c r="AN4" s="25"/>
      <c r="AO4" s="25"/>
    </row>
    <row r="5" spans="2:41" ht="23.25" customHeight="1">
      <c r="B5" s="3"/>
      <c r="C5" s="3"/>
      <c r="D5" s="3"/>
      <c r="E5" s="3"/>
      <c r="F5" s="3"/>
      <c r="G5" s="25"/>
      <c r="H5" s="310"/>
      <c r="I5" s="310"/>
      <c r="J5" s="25"/>
      <c r="K5" s="25"/>
      <c r="L5" s="25"/>
      <c r="M5" s="25"/>
      <c r="N5" s="27">
        <v>3</v>
      </c>
      <c r="O5" s="27" t="s">
        <v>12</v>
      </c>
      <c r="P5" s="25"/>
      <c r="Q5" s="25"/>
      <c r="R5" s="25"/>
      <c r="S5" s="25"/>
      <c r="T5" s="25"/>
      <c r="U5" s="25"/>
      <c r="V5" s="25"/>
      <c r="W5" s="25"/>
      <c r="X5" s="25"/>
      <c r="Y5" s="25"/>
      <c r="Z5" s="25"/>
      <c r="AA5" s="25"/>
      <c r="AB5" s="25"/>
      <c r="AC5" s="25"/>
      <c r="AD5" s="25"/>
      <c r="AE5" s="25"/>
      <c r="AF5" s="25"/>
      <c r="AG5" s="25"/>
      <c r="AH5" s="25"/>
      <c r="AI5" s="25"/>
      <c r="AJ5" s="25"/>
      <c r="AK5" s="25"/>
      <c r="AL5" s="25"/>
      <c r="AM5" s="25"/>
      <c r="AN5" s="25"/>
      <c r="AO5" s="25"/>
    </row>
    <row r="6" spans="2:41" ht="20.25" customHeight="1">
      <c r="B6" s="132"/>
      <c r="C6" s="133" t="s">
        <v>19</v>
      </c>
      <c r="D6" s="133" t="s">
        <v>20</v>
      </c>
      <c r="E6" s="133" t="s">
        <v>21</v>
      </c>
      <c r="F6" s="3"/>
      <c r="G6" s="25"/>
      <c r="H6" s="28"/>
      <c r="I6" s="28"/>
      <c r="J6" s="25"/>
      <c r="K6" s="25"/>
      <c r="L6" s="25"/>
      <c r="M6" s="25"/>
      <c r="N6" s="27"/>
      <c r="O6" s="27"/>
      <c r="P6" s="25"/>
      <c r="Q6" s="25"/>
      <c r="R6" s="25"/>
      <c r="S6" s="25"/>
      <c r="T6" s="25"/>
      <c r="U6" s="25"/>
      <c r="V6" s="25"/>
      <c r="W6" s="25"/>
      <c r="X6" s="25"/>
      <c r="Y6" s="25"/>
      <c r="Z6" s="25"/>
      <c r="AA6" s="25"/>
      <c r="AB6" s="25"/>
      <c r="AC6" s="25"/>
      <c r="AD6" s="25"/>
      <c r="AE6" s="25"/>
      <c r="AF6" s="25"/>
      <c r="AG6" s="25"/>
      <c r="AH6" s="25"/>
      <c r="AI6" s="25"/>
      <c r="AJ6" s="25"/>
      <c r="AK6" s="25"/>
      <c r="AL6" s="25"/>
      <c r="AM6" s="25"/>
      <c r="AN6" s="25"/>
      <c r="AO6" s="25"/>
    </row>
    <row r="7" spans="2:41">
      <c r="B7" s="134" t="s">
        <v>61</v>
      </c>
      <c r="C7" s="125" t="s">
        <v>22</v>
      </c>
      <c r="D7" s="125" t="s">
        <v>22</v>
      </c>
      <c r="E7" s="125" t="s">
        <v>22</v>
      </c>
      <c r="F7" s="3"/>
      <c r="G7" s="25"/>
      <c r="H7" s="25"/>
      <c r="I7" s="25"/>
      <c r="J7" s="25"/>
      <c r="K7" s="25"/>
      <c r="L7" s="25"/>
      <c r="M7" s="25"/>
      <c r="N7" s="27">
        <v>5</v>
      </c>
      <c r="O7" s="27" t="s">
        <v>12</v>
      </c>
      <c r="P7" s="25"/>
      <c r="Q7" s="25"/>
      <c r="R7" s="25"/>
      <c r="S7" s="25"/>
      <c r="T7" s="25"/>
      <c r="U7" s="25"/>
      <c r="V7" s="25"/>
      <c r="W7" s="25"/>
      <c r="X7" s="25"/>
      <c r="Y7" s="25"/>
      <c r="Z7" s="25"/>
      <c r="AA7" s="25"/>
      <c r="AB7" s="25"/>
      <c r="AC7" s="25"/>
      <c r="AD7" s="25"/>
      <c r="AE7" s="25"/>
      <c r="AF7" s="25"/>
      <c r="AG7" s="25"/>
      <c r="AH7" s="25"/>
      <c r="AI7" s="25"/>
      <c r="AJ7" s="25"/>
      <c r="AK7" s="25"/>
      <c r="AL7" s="25"/>
      <c r="AM7" s="25"/>
      <c r="AN7" s="25"/>
      <c r="AO7" s="25"/>
    </row>
    <row r="8" spans="2:41">
      <c r="B8" s="134" t="s">
        <v>65</v>
      </c>
      <c r="C8" s="125"/>
      <c r="D8" s="125"/>
      <c r="E8" s="125"/>
      <c r="F8" s="3"/>
      <c r="G8" s="25"/>
      <c r="H8" s="25"/>
      <c r="I8" s="25"/>
      <c r="J8" s="25"/>
      <c r="K8" s="25"/>
      <c r="L8" s="25"/>
      <c r="M8" s="25"/>
      <c r="N8" s="27">
        <v>8</v>
      </c>
      <c r="O8" s="27" t="s">
        <v>12</v>
      </c>
      <c r="P8" s="25"/>
      <c r="Q8" s="25"/>
      <c r="R8" s="25"/>
      <c r="S8" s="25"/>
      <c r="T8" s="25"/>
      <c r="U8" s="25"/>
      <c r="V8" s="25"/>
      <c r="W8" s="25"/>
      <c r="X8" s="25"/>
      <c r="Y8" s="25"/>
      <c r="Z8" s="25"/>
      <c r="AA8" s="25"/>
      <c r="AB8" s="25"/>
      <c r="AC8" s="25"/>
      <c r="AD8" s="25"/>
      <c r="AE8" s="25"/>
      <c r="AF8" s="25"/>
      <c r="AG8" s="25"/>
      <c r="AH8" s="25"/>
      <c r="AI8" s="25"/>
      <c r="AJ8" s="25"/>
      <c r="AK8" s="25"/>
      <c r="AL8" s="25"/>
      <c r="AM8" s="25"/>
      <c r="AN8" s="25"/>
      <c r="AO8" s="25"/>
    </row>
    <row r="9" spans="2:41" ht="16.5" customHeight="1">
      <c r="B9" s="134" t="s">
        <v>58</v>
      </c>
      <c r="C9" s="125"/>
      <c r="D9" s="125"/>
      <c r="E9" s="125"/>
      <c r="F9" s="3"/>
      <c r="G9" s="25"/>
      <c r="H9" s="25"/>
      <c r="I9" s="25"/>
      <c r="J9" s="25"/>
      <c r="K9" s="26" t="str">
        <f>VLOOKUP('Etat des lieux'!E8,$N$2:$O$98,2,FALSE)</f>
        <v>H1</v>
      </c>
      <c r="L9" s="25"/>
      <c r="M9" s="25"/>
      <c r="N9" s="27">
        <v>10</v>
      </c>
      <c r="O9" s="27" t="s">
        <v>12</v>
      </c>
      <c r="P9" s="25"/>
      <c r="Q9" s="25"/>
      <c r="R9" s="25"/>
      <c r="S9" s="25"/>
      <c r="T9" s="25"/>
      <c r="U9" s="25"/>
      <c r="V9" s="25"/>
      <c r="W9" s="25"/>
      <c r="X9" s="25"/>
      <c r="Y9" s="25"/>
      <c r="Z9" s="25"/>
      <c r="AA9" s="25"/>
      <c r="AB9" s="25"/>
      <c r="AC9" s="25"/>
      <c r="AD9" s="25"/>
      <c r="AE9" s="25"/>
      <c r="AF9" s="25"/>
      <c r="AG9" s="25"/>
      <c r="AH9" s="25"/>
      <c r="AI9" s="25"/>
      <c r="AJ9" s="25"/>
      <c r="AK9" s="25"/>
      <c r="AL9" s="25"/>
      <c r="AM9" s="25"/>
      <c r="AN9" s="25"/>
      <c r="AO9" s="25"/>
    </row>
    <row r="10" spans="2:41" ht="15" customHeight="1">
      <c r="B10" s="296"/>
      <c r="C10" s="297"/>
      <c r="D10" s="297"/>
      <c r="E10" s="297"/>
      <c r="F10" s="128" t="s">
        <v>18</v>
      </c>
      <c r="G10" s="25"/>
      <c r="H10" s="25"/>
      <c r="I10" s="25" t="s">
        <v>59</v>
      </c>
      <c r="J10" s="25" t="s">
        <v>34</v>
      </c>
      <c r="K10" s="25"/>
      <c r="L10" s="25"/>
      <c r="M10" s="25"/>
      <c r="N10" s="27">
        <v>14</v>
      </c>
      <c r="O10" s="27" t="s">
        <v>12</v>
      </c>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row>
    <row r="11" spans="2:41">
      <c r="B11" s="134" t="s">
        <v>7</v>
      </c>
      <c r="C11" s="220" t="str">
        <f>IF(I49="","",IF('Etat des lieux'!$E$9='Etat des lieux'!$H$8,I49,IF('Etat des lieux'!$E$9='Etat des lieux'!$H$9,I50,IF('Etat des lieux'!$E$9='Etat des lieux'!$H$10,I51,IF('Etat des lieux'!$E$9='Etat des lieux'!$H$11,I52,IF('Etat des lieux'!$E$9='Etat des lieux'!$H$12,I53,""))))))</f>
        <v/>
      </c>
      <c r="D11" s="220" t="str">
        <f>IF(J49="","",IF('Etat des lieux'!$E$9='Etat des lieux'!$H$8,J49,IF('Etat des lieux'!$E$9='Etat des lieux'!$H$9,J50,IF('Etat des lieux'!$E$9='Etat des lieux'!$H$10,J51,IF('Etat des lieux'!$E$9='Etat des lieux'!$H$11,J52,IF('Etat des lieux'!$E$9='Etat des lieux'!$H$12,J53,""))))))</f>
        <v/>
      </c>
      <c r="E11" s="220" t="str">
        <f>IF(K49="","",IF('Etat des lieux'!$E$9='Etat des lieux'!$H$8,K49,IF('Etat des lieux'!$E$9='Etat des lieux'!$H$9,K50,IF('Etat des lieux'!$E$9='Etat des lieux'!$H$10,K51,IF('Etat des lieux'!$E$9='Etat des lieux'!$H$11,K52,IF('Etat des lieux'!$E$9='Etat des lieux'!$H$12,K53,""))))))</f>
        <v/>
      </c>
      <c r="F11" s="135">
        <f>SUM(C11:E11)</f>
        <v>0</v>
      </c>
      <c r="G11" s="25"/>
      <c r="H11" s="25"/>
      <c r="I11" s="25" t="s">
        <v>22</v>
      </c>
      <c r="J11" s="25" t="s">
        <v>22</v>
      </c>
      <c r="K11" s="25"/>
      <c r="L11" s="25"/>
      <c r="M11" s="25"/>
      <c r="N11" s="27">
        <v>15</v>
      </c>
      <c r="O11" s="27" t="s">
        <v>12</v>
      </c>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row>
    <row r="12" spans="2:41" ht="15" customHeight="1">
      <c r="B12" s="134" t="s">
        <v>340</v>
      </c>
      <c r="C12" s="136" t="str">
        <f>IF(C11="","",C11*'Etat des lieux'!$H$4/1000)</f>
        <v/>
      </c>
      <c r="D12" s="136" t="str">
        <f>IF(D11="","",D11*'Etat des lieux'!$H$4/1000)</f>
        <v/>
      </c>
      <c r="E12" s="136" t="str">
        <f>IF(E11="","",E11*'Etat des lieux'!$H$4/1000)</f>
        <v/>
      </c>
      <c r="F12" s="140">
        <f>F11*'Etat des lieux'!H4/1000</f>
        <v>0</v>
      </c>
      <c r="G12" s="25"/>
      <c r="H12" s="25"/>
      <c r="I12" s="25" t="s">
        <v>60</v>
      </c>
      <c r="J12" s="26">
        <v>2</v>
      </c>
      <c r="K12" s="311" t="s">
        <v>62</v>
      </c>
      <c r="L12" s="26">
        <v>560</v>
      </c>
      <c r="M12" s="25"/>
      <c r="N12" s="27">
        <v>19</v>
      </c>
      <c r="O12" s="27" t="s">
        <v>12</v>
      </c>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row>
    <row r="13" spans="2:41">
      <c r="G13" s="25"/>
      <c r="H13" s="25"/>
      <c r="I13" s="25" t="s">
        <v>64</v>
      </c>
      <c r="J13" s="26">
        <v>3</v>
      </c>
      <c r="K13" s="312"/>
      <c r="L13" s="26">
        <v>1100</v>
      </c>
      <c r="M13" s="25"/>
      <c r="N13" s="27">
        <v>21</v>
      </c>
      <c r="O13" s="27" t="s">
        <v>12</v>
      </c>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row>
    <row r="14" spans="2:41">
      <c r="G14" s="25"/>
      <c r="H14" s="25"/>
      <c r="I14" s="25"/>
      <c r="J14" s="26">
        <v>4</v>
      </c>
      <c r="K14" s="312"/>
      <c r="L14" s="26">
        <v>1700</v>
      </c>
      <c r="M14" s="25"/>
      <c r="N14" s="27">
        <v>23</v>
      </c>
      <c r="O14" s="27" t="s">
        <v>12</v>
      </c>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row>
    <row r="15" spans="2:41">
      <c r="G15" s="25"/>
      <c r="H15" s="25"/>
      <c r="I15" s="25"/>
      <c r="J15" s="26">
        <v>5</v>
      </c>
      <c r="K15" s="312"/>
      <c r="L15" s="26">
        <v>2200</v>
      </c>
      <c r="M15" s="25"/>
      <c r="N15" s="27">
        <v>25</v>
      </c>
      <c r="O15" s="27" t="s">
        <v>12</v>
      </c>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row>
    <row r="16" spans="2:41">
      <c r="G16" s="25"/>
      <c r="H16" s="25"/>
      <c r="I16" s="25"/>
      <c r="J16" s="26">
        <v>6</v>
      </c>
      <c r="K16" s="312"/>
      <c r="L16" s="26">
        <v>2700</v>
      </c>
      <c r="M16" s="25"/>
      <c r="N16" s="27">
        <v>27</v>
      </c>
      <c r="O16" s="27" t="s">
        <v>12</v>
      </c>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row>
    <row r="17" spans="7:41">
      <c r="G17" s="25"/>
      <c r="H17" s="25"/>
      <c r="I17" s="25"/>
      <c r="J17" s="26">
        <v>7</v>
      </c>
      <c r="K17" s="312"/>
      <c r="L17" s="26">
        <v>3200</v>
      </c>
      <c r="M17" s="25"/>
      <c r="N17" s="27">
        <v>28</v>
      </c>
      <c r="O17" s="27" t="s">
        <v>12</v>
      </c>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row>
    <row r="18" spans="7:41">
      <c r="G18" s="25"/>
      <c r="H18" s="25"/>
      <c r="I18" s="25"/>
      <c r="J18" s="26">
        <v>8</v>
      </c>
      <c r="K18" s="313"/>
      <c r="L18" s="26">
        <v>3700</v>
      </c>
      <c r="M18" s="25"/>
      <c r="N18" s="27">
        <v>38</v>
      </c>
      <c r="O18" s="27" t="s">
        <v>12</v>
      </c>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row>
    <row r="19" spans="7:41" ht="15" customHeight="1">
      <c r="G19" s="25"/>
      <c r="H19" s="25"/>
      <c r="I19" s="25"/>
      <c r="J19" s="26">
        <v>2</v>
      </c>
      <c r="K19" s="311" t="s">
        <v>63</v>
      </c>
      <c r="L19" s="26">
        <v>2400</v>
      </c>
      <c r="M19" s="25"/>
      <c r="N19" s="27">
        <v>39</v>
      </c>
      <c r="O19" s="27" t="s">
        <v>12</v>
      </c>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row>
    <row r="20" spans="7:41">
      <c r="G20" s="25"/>
      <c r="H20" s="25"/>
      <c r="I20" s="25"/>
      <c r="J20" s="26">
        <v>3</v>
      </c>
      <c r="K20" s="312"/>
      <c r="L20" s="26">
        <v>3000</v>
      </c>
      <c r="M20" s="25"/>
      <c r="N20" s="27">
        <v>42</v>
      </c>
      <c r="O20" s="27" t="s">
        <v>12</v>
      </c>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row>
    <row r="21" spans="7:41">
      <c r="G21" s="25"/>
      <c r="H21" s="25"/>
      <c r="I21" s="25"/>
      <c r="J21" s="26">
        <v>4</v>
      </c>
      <c r="K21" s="312"/>
      <c r="L21" s="26">
        <v>3600</v>
      </c>
      <c r="M21" s="25"/>
      <c r="N21" s="27">
        <v>43</v>
      </c>
      <c r="O21" s="27" t="s">
        <v>12</v>
      </c>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row>
    <row r="22" spans="7:41">
      <c r="G22" s="25"/>
      <c r="H22" s="25"/>
      <c r="I22" s="25"/>
      <c r="J22" s="26">
        <v>5</v>
      </c>
      <c r="K22" s="312"/>
      <c r="L22" s="26">
        <v>4100</v>
      </c>
      <c r="M22" s="25"/>
      <c r="N22" s="27">
        <v>45</v>
      </c>
      <c r="O22" s="27" t="s">
        <v>12</v>
      </c>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row>
    <row r="23" spans="7:41">
      <c r="G23" s="25"/>
      <c r="H23" s="25"/>
      <c r="I23" s="25"/>
      <c r="J23" s="26">
        <v>6</v>
      </c>
      <c r="K23" s="312"/>
      <c r="L23" s="26">
        <v>4600</v>
      </c>
      <c r="M23" s="25"/>
      <c r="N23" s="27">
        <v>51</v>
      </c>
      <c r="O23" s="27" t="s">
        <v>12</v>
      </c>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row>
    <row r="24" spans="7:41">
      <c r="G24" s="25"/>
      <c r="H24" s="25"/>
      <c r="I24" s="25"/>
      <c r="J24" s="26">
        <v>7</v>
      </c>
      <c r="K24" s="312"/>
      <c r="L24" s="26">
        <v>5100</v>
      </c>
      <c r="M24" s="25"/>
      <c r="N24" s="27">
        <v>52</v>
      </c>
      <c r="O24" s="27" t="s">
        <v>12</v>
      </c>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row>
    <row r="25" spans="7:41">
      <c r="G25" s="25"/>
      <c r="H25" s="25"/>
      <c r="I25" s="25"/>
      <c r="J25" s="26">
        <v>8</v>
      </c>
      <c r="K25" s="313"/>
      <c r="L25" s="26">
        <v>5600</v>
      </c>
      <c r="M25" s="25"/>
      <c r="N25" s="27">
        <v>54</v>
      </c>
      <c r="O25" s="27" t="s">
        <v>12</v>
      </c>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row>
    <row r="26" spans="7:41">
      <c r="G26" s="25"/>
      <c r="H26" s="25"/>
      <c r="I26" s="25"/>
      <c r="J26" s="25"/>
      <c r="K26" s="25"/>
      <c r="L26" s="25"/>
      <c r="M26" s="25"/>
      <c r="N26" s="27">
        <v>55</v>
      </c>
      <c r="O26" s="27" t="s">
        <v>12</v>
      </c>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row>
    <row r="27" spans="7:41">
      <c r="G27" s="25"/>
      <c r="H27" s="25"/>
      <c r="I27" s="25">
        <v>2</v>
      </c>
      <c r="J27" s="25">
        <f>VLOOKUP(I27,J12:L18,3,FALSE)</f>
        <v>560</v>
      </c>
      <c r="K27" s="25"/>
      <c r="L27" s="25"/>
      <c r="M27" s="25"/>
      <c r="N27" s="27">
        <v>57</v>
      </c>
      <c r="O27" s="27" t="s">
        <v>12</v>
      </c>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row>
    <row r="28" spans="7:41">
      <c r="G28" s="25"/>
      <c r="H28" s="25"/>
      <c r="I28" s="25"/>
      <c r="J28" s="25"/>
      <c r="K28" s="25"/>
      <c r="L28" s="25"/>
      <c r="M28" s="25"/>
      <c r="N28" s="27">
        <v>58</v>
      </c>
      <c r="O28" s="27" t="s">
        <v>12</v>
      </c>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row>
    <row r="29" spans="7:41">
      <c r="G29" s="25"/>
      <c r="H29" s="25"/>
      <c r="I29" s="25"/>
      <c r="J29" s="25"/>
      <c r="K29" s="25"/>
      <c r="L29" s="25"/>
      <c r="M29" s="25"/>
      <c r="N29" s="27">
        <v>59</v>
      </c>
      <c r="O29" s="27" t="s">
        <v>12</v>
      </c>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row>
    <row r="30" spans="7:41">
      <c r="G30" s="25"/>
      <c r="H30" s="25"/>
      <c r="I30" s="25"/>
      <c r="J30" s="25"/>
      <c r="K30" s="25"/>
      <c r="L30" s="25"/>
      <c r="M30" s="25"/>
      <c r="N30" s="27">
        <v>60</v>
      </c>
      <c r="O30" s="27" t="s">
        <v>12</v>
      </c>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row>
    <row r="31" spans="7:41">
      <c r="G31" s="25"/>
      <c r="H31" s="310"/>
      <c r="I31" s="310"/>
      <c r="J31" s="310"/>
      <c r="K31" s="25"/>
      <c r="L31" s="25"/>
      <c r="M31" s="25"/>
      <c r="N31" s="27">
        <v>61</v>
      </c>
      <c r="O31" s="27" t="s">
        <v>12</v>
      </c>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row>
    <row r="32" spans="7:41">
      <c r="G32" s="25"/>
      <c r="K32" s="25"/>
      <c r="L32" s="25"/>
      <c r="M32" s="25"/>
      <c r="N32" s="27">
        <v>62</v>
      </c>
      <c r="O32" s="27" t="s">
        <v>12</v>
      </c>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row>
    <row r="33" spans="8:15">
      <c r="N33" s="2">
        <v>63</v>
      </c>
      <c r="O33" s="2" t="s">
        <v>12</v>
      </c>
    </row>
    <row r="34" spans="8:15">
      <c r="N34" s="2">
        <v>67</v>
      </c>
      <c r="O34" s="2" t="s">
        <v>12</v>
      </c>
    </row>
    <row r="35" spans="8:15">
      <c r="N35" s="2">
        <v>68</v>
      </c>
      <c r="O35" s="2" t="s">
        <v>12</v>
      </c>
    </row>
    <row r="36" spans="8:15">
      <c r="H36" t="s">
        <v>22</v>
      </c>
      <c r="N36" s="2">
        <v>69</v>
      </c>
      <c r="O36" s="2" t="s">
        <v>12</v>
      </c>
    </row>
    <row r="37" spans="8:15">
      <c r="H37" t="s">
        <v>51</v>
      </c>
      <c r="N37" s="2">
        <v>70</v>
      </c>
      <c r="O37" s="2" t="s">
        <v>12</v>
      </c>
    </row>
    <row r="38" spans="8:15">
      <c r="H38" t="s">
        <v>52</v>
      </c>
      <c r="N38" s="2">
        <v>71</v>
      </c>
      <c r="O38" s="2" t="s">
        <v>12</v>
      </c>
    </row>
    <row r="39" spans="8:15">
      <c r="H39" t="s">
        <v>54</v>
      </c>
      <c r="N39" s="2">
        <v>73</v>
      </c>
      <c r="O39" s="2" t="s">
        <v>12</v>
      </c>
    </row>
    <row r="40" spans="8:15">
      <c r="K40" s="23" t="s">
        <v>322</v>
      </c>
      <c r="L40" s="23">
        <v>13</v>
      </c>
      <c r="N40" s="2">
        <v>74</v>
      </c>
      <c r="O40" s="2" t="s">
        <v>12</v>
      </c>
    </row>
    <row r="41" spans="8:15">
      <c r="K41" s="23" t="s">
        <v>323</v>
      </c>
      <c r="L41" s="23">
        <v>10.3851</v>
      </c>
      <c r="N41" s="2">
        <v>75</v>
      </c>
      <c r="O41" s="2" t="s">
        <v>12</v>
      </c>
    </row>
    <row r="42" spans="8:15">
      <c r="N42" s="2">
        <v>76</v>
      </c>
      <c r="O42" s="2" t="s">
        <v>12</v>
      </c>
    </row>
    <row r="43" spans="8:15">
      <c r="N43" s="2">
        <v>77</v>
      </c>
      <c r="O43" s="2" t="s">
        <v>12</v>
      </c>
    </row>
    <row r="44" spans="8:15">
      <c r="N44" s="2">
        <v>78</v>
      </c>
      <c r="O44" s="2" t="s">
        <v>12</v>
      </c>
    </row>
    <row r="45" spans="8:15">
      <c r="N45" s="2">
        <v>80</v>
      </c>
      <c r="O45" s="2" t="s">
        <v>12</v>
      </c>
    </row>
    <row r="46" spans="8:15">
      <c r="N46" s="2">
        <v>87</v>
      </c>
      <c r="O46" s="2" t="s">
        <v>12</v>
      </c>
    </row>
    <row r="47" spans="8:15">
      <c r="N47" s="2">
        <v>88</v>
      </c>
      <c r="O47" s="2" t="s">
        <v>12</v>
      </c>
    </row>
    <row r="48" spans="8:15">
      <c r="H48" s="17"/>
      <c r="I48" s="17" t="s">
        <v>326</v>
      </c>
      <c r="J48" s="17" t="s">
        <v>327</v>
      </c>
      <c r="K48" s="17" t="s">
        <v>328</v>
      </c>
      <c r="N48" s="2">
        <v>89</v>
      </c>
      <c r="O48" s="2" t="s">
        <v>12</v>
      </c>
    </row>
    <row r="49" spans="8:15">
      <c r="H49" s="17" t="s">
        <v>316</v>
      </c>
      <c r="I49" s="219" t="str">
        <f>IF(C$7=$I$11,"",C$8*(IF(C$7=$I$12,VLOOKUP(C$9,$J$12:$L$18,3,FALSE),VLOOKUP(C$9,$J$19:$L$25,3,FALSE))))</f>
        <v/>
      </c>
      <c r="J49" s="219" t="str">
        <f t="shared" ref="J49:K49" si="0">IF(D$7=$I$11,"",D$8*(IF(D$7=$I$12,VLOOKUP(D$9,$J$12:$L$18,3,FALSE),VLOOKUP(D$9,$J$19:$L$25,3,FALSE))))</f>
        <v/>
      </c>
      <c r="K49" s="219" t="str">
        <f t="shared" si="0"/>
        <v/>
      </c>
      <c r="N49" s="2">
        <v>90</v>
      </c>
      <c r="O49" s="2" t="s">
        <v>12</v>
      </c>
    </row>
    <row r="50" spans="8:15">
      <c r="H50" s="17" t="s">
        <v>329</v>
      </c>
      <c r="I50" s="23" t="e">
        <f>I$49*$J59/$L$41</f>
        <v>#VALUE!</v>
      </c>
      <c r="J50" s="23" t="e">
        <f t="shared" ref="J50:K50" si="1">J$49*$J59/$L$41</f>
        <v>#VALUE!</v>
      </c>
      <c r="K50" s="23" t="e">
        <f t="shared" si="1"/>
        <v>#VALUE!</v>
      </c>
      <c r="N50" s="2">
        <v>91</v>
      </c>
      <c r="O50" s="2" t="s">
        <v>12</v>
      </c>
    </row>
    <row r="51" spans="8:15">
      <c r="H51" s="17" t="s">
        <v>330</v>
      </c>
      <c r="I51" s="23" t="e">
        <f t="shared" ref="I51:K53" si="2">I$49*$J60/$L$41</f>
        <v>#VALUE!</v>
      </c>
      <c r="J51" s="23" t="e">
        <f t="shared" si="2"/>
        <v>#VALUE!</v>
      </c>
      <c r="K51" s="23" t="e">
        <f t="shared" si="2"/>
        <v>#VALUE!</v>
      </c>
      <c r="N51" s="2">
        <v>92</v>
      </c>
      <c r="O51" s="2" t="s">
        <v>12</v>
      </c>
    </row>
    <row r="52" spans="8:15">
      <c r="H52" s="17" t="s">
        <v>331</v>
      </c>
      <c r="I52" s="23" t="e">
        <f t="shared" si="2"/>
        <v>#VALUE!</v>
      </c>
      <c r="J52" s="23" t="e">
        <f t="shared" si="2"/>
        <v>#VALUE!</v>
      </c>
      <c r="K52" s="23" t="e">
        <f t="shared" si="2"/>
        <v>#VALUE!</v>
      </c>
      <c r="N52" s="2">
        <v>93</v>
      </c>
      <c r="O52" s="2" t="s">
        <v>12</v>
      </c>
    </row>
    <row r="53" spans="8:15">
      <c r="H53" s="17" t="s">
        <v>332</v>
      </c>
      <c r="I53" s="23" t="e">
        <f t="shared" si="2"/>
        <v>#VALUE!</v>
      </c>
      <c r="J53" s="23" t="e">
        <f t="shared" si="2"/>
        <v>#VALUE!</v>
      </c>
      <c r="K53" s="23" t="e">
        <f t="shared" si="2"/>
        <v>#VALUE!</v>
      </c>
      <c r="N53" s="2">
        <v>94</v>
      </c>
      <c r="O53" s="2" t="s">
        <v>12</v>
      </c>
    </row>
    <row r="54" spans="8:15">
      <c r="N54" s="2">
        <v>95</v>
      </c>
      <c r="O54" s="2" t="s">
        <v>12</v>
      </c>
    </row>
    <row r="55" spans="8:15">
      <c r="N55" s="2">
        <v>4</v>
      </c>
      <c r="O55" s="2" t="s">
        <v>13</v>
      </c>
    </row>
    <row r="56" spans="8:15">
      <c r="N56" s="2">
        <v>7</v>
      </c>
      <c r="O56" s="2" t="s">
        <v>13</v>
      </c>
    </row>
    <row r="57" spans="8:15">
      <c r="N57" s="2">
        <v>9</v>
      </c>
      <c r="O57" s="2" t="s">
        <v>13</v>
      </c>
    </row>
    <row r="58" spans="8:15">
      <c r="N58" s="2">
        <v>12</v>
      </c>
      <c r="O58" s="2" t="s">
        <v>13</v>
      </c>
    </row>
    <row r="59" spans="8:15">
      <c r="I59" s="29" t="s">
        <v>317</v>
      </c>
      <c r="J59" s="29">
        <v>2.8860999999999999</v>
      </c>
      <c r="N59" s="2">
        <v>16</v>
      </c>
      <c r="O59" s="2" t="s">
        <v>13</v>
      </c>
    </row>
    <row r="60" spans="8:15">
      <c r="I60" s="29" t="s">
        <v>318</v>
      </c>
      <c r="J60" s="29">
        <v>4.6299000000000001</v>
      </c>
      <c r="N60" s="2">
        <v>17</v>
      </c>
      <c r="O60" s="2" t="s">
        <v>13</v>
      </c>
    </row>
    <row r="61" spans="8:15">
      <c r="I61" s="29" t="s">
        <v>319</v>
      </c>
      <c r="J61" s="29">
        <v>6.2420999999999998</v>
      </c>
      <c r="N61" s="2">
        <v>18</v>
      </c>
      <c r="O61" s="2" t="s">
        <v>13</v>
      </c>
    </row>
    <row r="62" spans="8:15">
      <c r="I62" s="29" t="s">
        <v>320</v>
      </c>
      <c r="J62" s="29">
        <v>8.4352999999999998</v>
      </c>
      <c r="N62" s="2">
        <v>22</v>
      </c>
      <c r="O62" s="2" t="s">
        <v>13</v>
      </c>
    </row>
    <row r="63" spans="8:15">
      <c r="N63" s="2">
        <v>24</v>
      </c>
      <c r="O63" s="2" t="s">
        <v>13</v>
      </c>
    </row>
    <row r="64" spans="8:15">
      <c r="N64" s="2">
        <v>26</v>
      </c>
      <c r="O64" s="2" t="s">
        <v>13</v>
      </c>
    </row>
    <row r="65" spans="14:15">
      <c r="N65" s="2">
        <v>29</v>
      </c>
      <c r="O65" s="2" t="s">
        <v>13</v>
      </c>
    </row>
    <row r="66" spans="14:15">
      <c r="N66" s="2">
        <v>31</v>
      </c>
      <c r="O66" s="2" t="s">
        <v>13</v>
      </c>
    </row>
    <row r="67" spans="14:15">
      <c r="N67" s="2">
        <v>32</v>
      </c>
      <c r="O67" s="2" t="s">
        <v>13</v>
      </c>
    </row>
    <row r="68" spans="14:15">
      <c r="N68" s="2">
        <v>33</v>
      </c>
      <c r="O68" s="2" t="s">
        <v>13</v>
      </c>
    </row>
    <row r="69" spans="14:15">
      <c r="N69" s="2">
        <v>35</v>
      </c>
      <c r="O69" s="2" t="s">
        <v>13</v>
      </c>
    </row>
    <row r="70" spans="14:15">
      <c r="N70" s="2">
        <v>36</v>
      </c>
      <c r="O70" s="2" t="s">
        <v>13</v>
      </c>
    </row>
    <row r="71" spans="14:15">
      <c r="N71" s="2">
        <v>37</v>
      </c>
      <c r="O71" s="2" t="s">
        <v>13</v>
      </c>
    </row>
    <row r="72" spans="14:15">
      <c r="N72" s="2">
        <v>40</v>
      </c>
      <c r="O72" s="2" t="s">
        <v>13</v>
      </c>
    </row>
    <row r="73" spans="14:15">
      <c r="N73" s="2">
        <v>41</v>
      </c>
      <c r="O73" s="2" t="s">
        <v>13</v>
      </c>
    </row>
    <row r="74" spans="14:15">
      <c r="N74" s="2">
        <v>44</v>
      </c>
      <c r="O74" s="2" t="s">
        <v>13</v>
      </c>
    </row>
    <row r="75" spans="14:15">
      <c r="N75" s="2">
        <v>46</v>
      </c>
      <c r="O75" s="2" t="s">
        <v>13</v>
      </c>
    </row>
    <row r="76" spans="14:15">
      <c r="N76" s="2">
        <v>47</v>
      </c>
      <c r="O76" s="2" t="s">
        <v>13</v>
      </c>
    </row>
    <row r="77" spans="14:15">
      <c r="N77" s="2">
        <v>48</v>
      </c>
      <c r="O77" s="2" t="s">
        <v>13</v>
      </c>
    </row>
    <row r="78" spans="14:15">
      <c r="N78" s="2">
        <v>49</v>
      </c>
      <c r="O78" s="2" t="s">
        <v>13</v>
      </c>
    </row>
    <row r="79" spans="14:15">
      <c r="N79" s="2">
        <v>50</v>
      </c>
      <c r="O79" s="2" t="s">
        <v>13</v>
      </c>
    </row>
    <row r="80" spans="14:15">
      <c r="N80" s="2">
        <v>53</v>
      </c>
      <c r="O80" s="2" t="s">
        <v>13</v>
      </c>
    </row>
    <row r="81" spans="14:15">
      <c r="N81" s="2">
        <v>56</v>
      </c>
      <c r="O81" s="2" t="s">
        <v>13</v>
      </c>
    </row>
    <row r="82" spans="14:15">
      <c r="N82" s="2">
        <v>64</v>
      </c>
      <c r="O82" s="2" t="s">
        <v>13</v>
      </c>
    </row>
    <row r="83" spans="14:15">
      <c r="N83" s="2">
        <v>65</v>
      </c>
      <c r="O83" s="2" t="s">
        <v>13</v>
      </c>
    </row>
    <row r="84" spans="14:15">
      <c r="N84" s="2">
        <v>72</v>
      </c>
      <c r="O84" s="2" t="s">
        <v>13</v>
      </c>
    </row>
    <row r="85" spans="14:15">
      <c r="N85" s="2">
        <v>79</v>
      </c>
      <c r="O85" s="2" t="s">
        <v>13</v>
      </c>
    </row>
    <row r="86" spans="14:15">
      <c r="N86" s="2">
        <v>81</v>
      </c>
      <c r="O86" s="2" t="s">
        <v>13</v>
      </c>
    </row>
    <row r="87" spans="14:15">
      <c r="N87" s="2">
        <v>82</v>
      </c>
      <c r="O87" s="2" t="s">
        <v>13</v>
      </c>
    </row>
    <row r="88" spans="14:15">
      <c r="N88" s="2">
        <v>84</v>
      </c>
      <c r="O88" s="2" t="s">
        <v>13</v>
      </c>
    </row>
    <row r="89" spans="14:15">
      <c r="N89" s="2">
        <v>85</v>
      </c>
      <c r="O89" s="2" t="s">
        <v>13</v>
      </c>
    </row>
    <row r="90" spans="14:15">
      <c r="N90" s="2">
        <v>86</v>
      </c>
      <c r="O90" s="2" t="s">
        <v>13</v>
      </c>
    </row>
    <row r="91" spans="14:15">
      <c r="N91" s="2">
        <v>6</v>
      </c>
      <c r="O91" s="2" t="s">
        <v>14</v>
      </c>
    </row>
    <row r="92" spans="14:15">
      <c r="N92" s="2">
        <v>11</v>
      </c>
      <c r="O92" s="2" t="s">
        <v>14</v>
      </c>
    </row>
    <row r="93" spans="14:15">
      <c r="N93" s="2">
        <v>20</v>
      </c>
      <c r="O93" s="2" t="s">
        <v>14</v>
      </c>
    </row>
    <row r="94" spans="14:15">
      <c r="N94" s="2">
        <v>30</v>
      </c>
      <c r="O94" s="2" t="s">
        <v>14</v>
      </c>
    </row>
    <row r="95" spans="14:15">
      <c r="N95" s="2">
        <v>34</v>
      </c>
      <c r="O95" s="2" t="s">
        <v>14</v>
      </c>
    </row>
    <row r="96" spans="14:15">
      <c r="N96" s="2">
        <v>66</v>
      </c>
      <c r="O96" s="2" t="s">
        <v>14</v>
      </c>
    </row>
    <row r="97" spans="14:15">
      <c r="N97" s="2">
        <v>83</v>
      </c>
      <c r="O97" s="2" t="s">
        <v>14</v>
      </c>
    </row>
    <row r="98" spans="14:15">
      <c r="N98" s="2">
        <v>13</v>
      </c>
      <c r="O98" s="2" t="s">
        <v>14</v>
      </c>
    </row>
  </sheetData>
  <sheetProtection algorithmName="SHA-512" hashValue="s2PcnNoRT94le8ypP3cZT3veLt3iESqdJ/tMKbsb4sYuDE4VI4COWnDqbjmzWqHbSISVG92nzP2LqJ4EqRoVRg==" saltValue="u8eDF+899AbYpjUH2bs/Kw==" spinCount="100000" sheet="1" selectLockedCells="1"/>
  <dataConsolidate/>
  <mergeCells count="6">
    <mergeCell ref="H31:J31"/>
    <mergeCell ref="K19:K25"/>
    <mergeCell ref="K12:K18"/>
    <mergeCell ref="H5:I5"/>
    <mergeCell ref="B4:F4"/>
    <mergeCell ref="B10:E10"/>
  </mergeCells>
  <dataValidations count="2">
    <dataValidation type="list" allowBlank="1" showInputMessage="1" showErrorMessage="1" sqref="C9:E9">
      <formula1>$J$11:$J$18</formula1>
    </dataValidation>
    <dataValidation type="list" allowBlank="1" showInputMessage="1" showErrorMessage="1" sqref="C7:E7">
      <formula1>$I$11:$I$13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codeName="Feuil10"/>
  <dimension ref="A1:AN244"/>
  <sheetViews>
    <sheetView showGridLines="0" showRowColHeaders="0" zoomScale="90" zoomScaleNormal="90" workbookViewId="0">
      <selection activeCell="C7" sqref="C7"/>
    </sheetView>
  </sheetViews>
  <sheetFormatPr baseColWidth="10" defaultRowHeight="15"/>
  <cols>
    <col min="1" max="1" width="11.42578125" style="9"/>
    <col min="2" max="2" width="45.7109375" bestFit="1" customWidth="1"/>
    <col min="3" max="3" width="28.42578125" bestFit="1" customWidth="1"/>
    <col min="4" max="4" width="29.85546875" customWidth="1"/>
    <col min="5" max="5" width="30.140625" customWidth="1"/>
    <col min="6" max="6" width="19.7109375" customWidth="1"/>
    <col min="7" max="7" width="0" style="9" hidden="1" customWidth="1"/>
    <col min="8" max="8" width="11.42578125" style="9" hidden="1" customWidth="1"/>
    <col min="9" max="9" width="28" style="9" hidden="1" customWidth="1"/>
    <col min="10" max="10" width="11.85546875" style="9" hidden="1" customWidth="1"/>
    <col min="11" max="11" width="11.42578125" style="9" hidden="1" customWidth="1"/>
    <col min="12" max="12" width="21.85546875" style="9" hidden="1" customWidth="1"/>
    <col min="13" max="14" width="11.42578125" style="9" hidden="1" customWidth="1"/>
    <col min="15" max="40" width="11.42578125" style="9"/>
  </cols>
  <sheetData>
    <row r="1" spans="2:10" s="9" customFormat="1" ht="77.25" customHeight="1">
      <c r="B1" s="30"/>
    </row>
    <row r="2" spans="2:10" s="9" customFormat="1"/>
    <row r="3" spans="2:10" s="9" customFormat="1"/>
    <row r="4" spans="2:10" ht="30" customHeight="1">
      <c r="B4" s="295" t="s">
        <v>120</v>
      </c>
      <c r="C4" s="295"/>
      <c r="D4" s="295"/>
      <c r="E4" s="295"/>
      <c r="F4" s="295"/>
    </row>
    <row r="5" spans="2:10" s="9" customFormat="1">
      <c r="B5" s="141"/>
      <c r="C5" s="141"/>
      <c r="D5" s="141"/>
      <c r="E5" s="141"/>
      <c r="F5" s="141"/>
    </row>
    <row r="6" spans="2:10" ht="15.75">
      <c r="B6" s="132"/>
      <c r="C6" s="133" t="s">
        <v>19</v>
      </c>
      <c r="D6" s="133" t="s">
        <v>20</v>
      </c>
      <c r="E6" s="133" t="s">
        <v>21</v>
      </c>
      <c r="F6" s="141"/>
      <c r="I6" s="43" t="s">
        <v>81</v>
      </c>
      <c r="J6" s="43"/>
    </row>
    <row r="7" spans="2:10">
      <c r="B7" s="134" t="s">
        <v>76</v>
      </c>
      <c r="C7" s="125" t="s">
        <v>81</v>
      </c>
      <c r="D7" s="125" t="s">
        <v>81</v>
      </c>
      <c r="E7" s="125" t="s">
        <v>81</v>
      </c>
      <c r="F7" s="141"/>
      <c r="I7" s="43" t="s">
        <v>3</v>
      </c>
      <c r="J7" s="44">
        <v>17800</v>
      </c>
    </row>
    <row r="8" spans="2:10">
      <c r="B8" s="134" t="s">
        <v>79</v>
      </c>
      <c r="C8" s="125"/>
      <c r="D8" s="125"/>
      <c r="E8" s="125"/>
      <c r="F8" s="141"/>
      <c r="I8" s="43" t="s">
        <v>4</v>
      </c>
      <c r="J8" s="44">
        <v>17600</v>
      </c>
    </row>
    <row r="9" spans="2:10">
      <c r="B9" s="134" t="s">
        <v>17</v>
      </c>
      <c r="C9" s="125"/>
      <c r="D9" s="125"/>
      <c r="E9" s="125"/>
      <c r="F9" s="141"/>
      <c r="I9" s="43" t="s">
        <v>77</v>
      </c>
      <c r="J9" s="44">
        <v>9200</v>
      </c>
    </row>
    <row r="10" spans="2:10">
      <c r="B10" s="296"/>
      <c r="C10" s="297"/>
      <c r="D10" s="297"/>
      <c r="E10" s="297"/>
      <c r="F10" s="128" t="s">
        <v>18</v>
      </c>
      <c r="I10" s="43" t="s">
        <v>5</v>
      </c>
      <c r="J10" s="44">
        <v>14500</v>
      </c>
    </row>
    <row r="11" spans="2:10">
      <c r="B11" s="134" t="s">
        <v>7</v>
      </c>
      <c r="C11" s="220" t="str">
        <f>IF(J37="","",IF('Etat des lieux'!$E$9='Etat des lieux'!$H$8,J37,IF('Etat des lieux'!$E$9='Etat des lieux'!$H$9,J38,IF('Etat des lieux'!$E$9='Etat des lieux'!$H$10,J39,IF('Etat des lieux'!$E$9='Etat des lieux'!$H$11,J40,IF('Etat des lieux'!$E$9='Etat des lieux'!$H$12,J41,""))))))</f>
        <v/>
      </c>
      <c r="D11" s="220" t="str">
        <f>IF(K37="","",IF('Etat des lieux'!$E$9='Etat des lieux'!$H$8,K37,IF('Etat des lieux'!$E$9='Etat des lieux'!$H$9,K38,IF('Etat des lieux'!$E$9='Etat des lieux'!$H$10,K39,IF('Etat des lieux'!$E$9='Etat des lieux'!$H$11,K40,IF('Etat des lieux'!$E$9='Etat des lieux'!$H$12,K41,""))))))</f>
        <v/>
      </c>
      <c r="E11" s="220" t="str">
        <f>IF(L37="","",IF('Etat des lieux'!$E$9='Etat des lieux'!$H$8,L37,IF('Etat des lieux'!$E$9='Etat des lieux'!$H$9,L38,IF('Etat des lieux'!$E$9='Etat des lieux'!$H$10,L39,IF('Etat des lieux'!$E$9='Etat des lieux'!$H$11,L40,IF('Etat des lieux'!$E$9='Etat des lieux'!$H$12,L41,""))))))</f>
        <v/>
      </c>
      <c r="F11" s="135">
        <f>SUM(C11:E11)</f>
        <v>0</v>
      </c>
      <c r="I11" s="43" t="s">
        <v>78</v>
      </c>
      <c r="J11" s="44">
        <v>11400</v>
      </c>
    </row>
    <row r="12" spans="2:10">
      <c r="B12" s="134" t="s">
        <v>340</v>
      </c>
      <c r="C12" s="136" t="str">
        <f>IF(C11="","",C11*'Etat des lieux'!$H$4/1000)</f>
        <v/>
      </c>
      <c r="D12" s="136" t="str">
        <f>IF(D11="","",D11*'Etat des lieux'!$H$4/1000)</f>
        <v/>
      </c>
      <c r="E12" s="136" t="str">
        <f>IF(E11="","",E11*'Etat des lieux'!$H$4/1000)</f>
        <v/>
      </c>
      <c r="F12" s="140">
        <f>F11*'Etat des lieux'!H4/1000</f>
        <v>0</v>
      </c>
    </row>
    <row r="13" spans="2:10">
      <c r="B13" s="9"/>
      <c r="C13" s="9"/>
      <c r="D13" s="9"/>
      <c r="E13" s="9"/>
      <c r="F13" s="9"/>
    </row>
    <row r="14" spans="2:10" s="9" customFormat="1">
      <c r="B14" s="314"/>
      <c r="C14" s="315"/>
      <c r="D14" s="315"/>
      <c r="E14" s="315"/>
      <c r="F14" s="315"/>
    </row>
    <row r="15" spans="2:10" s="9" customFormat="1">
      <c r="B15" s="315"/>
      <c r="C15" s="315"/>
      <c r="D15" s="315"/>
      <c r="E15" s="315"/>
      <c r="F15" s="315"/>
    </row>
    <row r="16" spans="2:10" s="9" customFormat="1"/>
    <row r="17" spans="12:13" s="9" customFormat="1"/>
    <row r="18" spans="12:13" s="9" customFormat="1">
      <c r="L18" s="23" t="s">
        <v>322</v>
      </c>
      <c r="M18" s="23">
        <v>20</v>
      </c>
    </row>
    <row r="19" spans="12:13" s="9" customFormat="1">
      <c r="L19" s="23" t="s">
        <v>323</v>
      </c>
      <c r="M19" s="23">
        <v>14.133900000000001</v>
      </c>
    </row>
    <row r="20" spans="12:13" s="9" customFormat="1"/>
    <row r="21" spans="12:13" s="9" customFormat="1"/>
    <row r="22" spans="12:13" s="9" customFormat="1"/>
    <row r="23" spans="12:13" s="9" customFormat="1"/>
    <row r="24" spans="12:13" s="9" customFormat="1"/>
    <row r="25" spans="12:13" s="9" customFormat="1"/>
    <row r="26" spans="12:13" s="9" customFormat="1"/>
    <row r="27" spans="12:13" s="9" customFormat="1"/>
    <row r="28" spans="12:13" s="9" customFormat="1"/>
    <row r="29" spans="12:13" s="9" customFormat="1"/>
    <row r="30" spans="12:13" s="9" customFormat="1"/>
    <row r="31" spans="12:13" s="9" customFormat="1"/>
    <row r="32" spans="12:13" s="9" customFormat="1"/>
    <row r="33" spans="9:13" s="9" customFormat="1"/>
    <row r="34" spans="9:13" s="9" customFormat="1"/>
    <row r="35" spans="9:13" s="9" customFormat="1"/>
    <row r="36" spans="9:13" s="9" customFormat="1">
      <c r="I36" s="17"/>
      <c r="J36" s="17" t="s">
        <v>326</v>
      </c>
      <c r="K36" s="17" t="s">
        <v>327</v>
      </c>
      <c r="L36" s="17" t="s">
        <v>328</v>
      </c>
    </row>
    <row r="37" spans="9:13" s="9" customFormat="1">
      <c r="I37" s="17" t="s">
        <v>316</v>
      </c>
      <c r="J37" s="219" t="str">
        <f>IF(C$7=$I$6,"",VLOOKUP(C$7,$I$7:$J$11,2,FALSE)*C$8*C$9)</f>
        <v/>
      </c>
      <c r="K37" s="219" t="str">
        <f t="shared" ref="K37:L37" si="0">IF(D$7=$I$6,"",VLOOKUP(D$7,$I$7:$J$11,2,FALSE)*D$8*D$9)</f>
        <v/>
      </c>
      <c r="L37" s="219" t="str">
        <f t="shared" si="0"/>
        <v/>
      </c>
    </row>
    <row r="38" spans="9:13" s="9" customFormat="1">
      <c r="I38" s="17" t="s">
        <v>329</v>
      </c>
      <c r="J38" s="23" t="e">
        <f>J$37*$M47/$M$19</f>
        <v>#VALUE!</v>
      </c>
      <c r="K38" s="23" t="e">
        <f t="shared" ref="K38:L38" si="1">K$37*$M47/$M$19</f>
        <v>#VALUE!</v>
      </c>
      <c r="L38" s="23" t="e">
        <f t="shared" si="1"/>
        <v>#VALUE!</v>
      </c>
    </row>
    <row r="39" spans="9:13" s="9" customFormat="1">
      <c r="I39" s="17" t="s">
        <v>330</v>
      </c>
      <c r="J39" s="23" t="e">
        <f t="shared" ref="J39:L41" si="2">J$37*$M48/$M$19</f>
        <v>#VALUE!</v>
      </c>
      <c r="K39" s="23" t="e">
        <f t="shared" si="2"/>
        <v>#VALUE!</v>
      </c>
      <c r="L39" s="23" t="e">
        <f t="shared" si="2"/>
        <v>#VALUE!</v>
      </c>
    </row>
    <row r="40" spans="9:13" s="9" customFormat="1">
      <c r="I40" s="17" t="s">
        <v>331</v>
      </c>
      <c r="J40" s="23" t="e">
        <f t="shared" si="2"/>
        <v>#VALUE!</v>
      </c>
      <c r="K40" s="23" t="e">
        <f t="shared" si="2"/>
        <v>#VALUE!</v>
      </c>
      <c r="L40" s="23" t="e">
        <f t="shared" si="2"/>
        <v>#VALUE!</v>
      </c>
    </row>
    <row r="41" spans="9:13" s="9" customFormat="1">
      <c r="I41" s="17" t="s">
        <v>332</v>
      </c>
      <c r="J41" s="23" t="e">
        <f t="shared" si="2"/>
        <v>#VALUE!</v>
      </c>
      <c r="K41" s="23" t="e">
        <f t="shared" si="2"/>
        <v>#VALUE!</v>
      </c>
      <c r="L41" s="23" t="e">
        <f t="shared" si="2"/>
        <v>#VALUE!</v>
      </c>
    </row>
    <row r="42" spans="9:13" s="9" customFormat="1"/>
    <row r="43" spans="9:13" s="9" customFormat="1"/>
    <row r="44" spans="9:13" s="9" customFormat="1"/>
    <row r="45" spans="9:13" s="9" customFormat="1"/>
    <row r="46" spans="9:13" s="9" customFormat="1"/>
    <row r="47" spans="9:13" s="9" customFormat="1">
      <c r="L47" s="29" t="s">
        <v>317</v>
      </c>
      <c r="M47" s="29">
        <v>2.8860999999999999</v>
      </c>
    </row>
    <row r="48" spans="9:13" s="9" customFormat="1">
      <c r="L48" s="29" t="s">
        <v>318</v>
      </c>
      <c r="M48" s="29">
        <v>4.6299000000000001</v>
      </c>
    </row>
    <row r="49" spans="12:13" s="9" customFormat="1">
      <c r="L49" s="29" t="s">
        <v>319</v>
      </c>
      <c r="M49" s="29">
        <v>6.2420999999999998</v>
      </c>
    </row>
    <row r="50" spans="12:13" s="9" customFormat="1">
      <c r="L50" s="29" t="s">
        <v>320</v>
      </c>
      <c r="M50" s="29">
        <v>8.4352999999999998</v>
      </c>
    </row>
    <row r="51" spans="12:13" s="9" customFormat="1"/>
    <row r="52" spans="12:13" s="9" customFormat="1"/>
    <row r="53" spans="12:13" s="9" customFormat="1"/>
    <row r="54" spans="12:13" s="9" customFormat="1"/>
    <row r="55" spans="12:13" s="9" customFormat="1"/>
    <row r="56" spans="12:13" s="9" customFormat="1"/>
    <row r="57" spans="12:13" s="9" customFormat="1"/>
    <row r="58" spans="12:13" s="9" customFormat="1"/>
    <row r="59" spans="12:13" s="9" customFormat="1"/>
    <row r="60" spans="12:13" s="9" customFormat="1"/>
    <row r="61" spans="12:13" s="9" customFormat="1"/>
    <row r="62" spans="12:13" s="9" customFormat="1"/>
    <row r="63" spans="12:13" s="9" customFormat="1"/>
    <row r="64" spans="12:13"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pans="2:6" s="9" customFormat="1"/>
    <row r="242" spans="2:6" s="9" customFormat="1"/>
    <row r="243" spans="2:6" s="9" customFormat="1"/>
    <row r="244" spans="2:6" s="9" customFormat="1">
      <c r="B244"/>
      <c r="C244"/>
      <c r="D244"/>
      <c r="E244"/>
      <c r="F244"/>
    </row>
  </sheetData>
  <sheetProtection algorithmName="SHA-512" hashValue="Bok5qe8iJ82xCP6WPZxq1CA9H9zHpmX8DSJI+f76+594+C8J/7LvK4oWM6MZ8pkd+N6JTDT+8lgxoQl5++8ZzQ==" saltValue="hBadYRSgeswqzZXMxvFpNQ==" spinCount="100000" sheet="1" selectLockedCells="1"/>
  <mergeCells count="3">
    <mergeCell ref="B4:F4"/>
    <mergeCell ref="B10:E10"/>
    <mergeCell ref="B14:F15"/>
  </mergeCells>
  <dataValidations count="2">
    <dataValidation type="list" allowBlank="1" showInputMessage="1" showErrorMessage="1" sqref="C7:E7">
      <formula1>$I$6:$I$11</formula1>
    </dataValidation>
    <dataValidation type="decimal" operator="lessThanOrEqual" allowBlank="1" showInputMessage="1" showErrorMessage="1" errorTitle="Puissance non éligible" error="La puissance maximale acceptée pour les CEE est de 1000 kW," sqref="C8:E8">
      <formula1>1000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vt:i4>
      </vt:variant>
    </vt:vector>
  </HeadingPairs>
  <TitlesOfParts>
    <vt:vector size="13" baseType="lpstr">
      <vt:lpstr>Démarche à suivre</vt:lpstr>
      <vt:lpstr>Etat des lieux</vt:lpstr>
      <vt:lpstr>VEV asynchrone</vt:lpstr>
      <vt:lpstr>Compresseur basse pression</vt:lpstr>
      <vt:lpstr>Récupérateur</vt:lpstr>
      <vt:lpstr>Sécheur d'air</vt:lpstr>
      <vt:lpstr>Moteur IE4</vt:lpstr>
      <vt:lpstr>Séquenceur</vt:lpstr>
      <vt:lpstr>VEV synchrone</vt:lpstr>
      <vt:lpstr>Fiche de synthèse</vt:lpstr>
      <vt:lpstr>Offre</vt:lpstr>
      <vt:lpstr>'Fiche de synthèse'!Zone_d_impression</vt:lpstr>
      <vt:lpstr>Offre!Zone_d_impression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AS-ST02</dc:creator>
  <cp:lastModifiedBy>SFACS</cp:lastModifiedBy>
  <cp:lastPrinted>2017-07-28T10:04:13Z</cp:lastPrinted>
  <dcterms:created xsi:type="dcterms:W3CDTF">2011-03-22T14:44:35Z</dcterms:created>
  <dcterms:modified xsi:type="dcterms:W3CDTF">2018-10-04T12:08:59Z</dcterms:modified>
</cp:coreProperties>
</file>